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4-15" sheetId="1" r:id="rId1"/>
    <sheet name="2013-14" sheetId="2" r:id="rId2"/>
    <sheet name="2012-13" sheetId="3" r:id="rId3"/>
    <sheet name="2011-12" sheetId="4" r:id="rId4"/>
    <sheet name="2010-11" sheetId="5" r:id="rId5"/>
    <sheet name="2009-10" sheetId="6" r:id="rId6"/>
    <sheet name="2008-09" sheetId="7" r:id="rId7"/>
    <sheet name="2007-08" sheetId="8" r:id="rId8"/>
    <sheet name="2005-06" sheetId="9" r:id="rId9"/>
    <sheet name="2004-05" sheetId="10" r:id="rId10"/>
    <sheet name="2003-04" sheetId="11" r:id="rId11"/>
    <sheet name="2002-03" sheetId="12" r:id="rId12"/>
    <sheet name="2001-02" sheetId="13" r:id="rId13"/>
    <sheet name="2000-01" sheetId="14" r:id="rId14"/>
    <sheet name="1999-2000" sheetId="15" r:id="rId15"/>
    <sheet name="1998-99" sheetId="16" r:id="rId16"/>
    <sheet name="1997-98" sheetId="17" r:id="rId17"/>
  </sheets>
  <definedNames>
    <definedName name="_xlnm.Print_Area" localSheetId="16">'1997-98'!$A$1:$F$35</definedName>
    <definedName name="_xlnm.Print_Area" localSheetId="15">'1998-99'!$A$1:$F$34</definedName>
    <definedName name="_xlnm.Print_Area" localSheetId="14">'1999-2000'!$A$1:$F$36</definedName>
    <definedName name="_xlnm.Print_Area" localSheetId="12">'2001-02'!$A$1:$F$37</definedName>
    <definedName name="_xlnm.Print_Area" localSheetId="11">'2002-03'!$A$1:$F$35</definedName>
    <definedName name="_xlnm.Print_Area" localSheetId="9">'2004-05'!$A$1:$F$37</definedName>
    <definedName name="_xlnm.Print_Area" localSheetId="8">'2005-06'!$A$1:$F$34</definedName>
    <definedName name="_xlnm.Print_Area" localSheetId="7">'2007-08'!$A$1:$F$34</definedName>
    <definedName name="_xlnm.Print_Area" localSheetId="6">'2008-09'!$A$1:$F$35</definedName>
    <definedName name="_xlnm.Print_Area" localSheetId="5">'2009-10'!$A$1:$F$35</definedName>
    <definedName name="_xlnm.Print_Area" localSheetId="4">'2010-11'!$A$1:$F$35</definedName>
    <definedName name="_xlnm.Print_Area" localSheetId="3">'2011-12'!$A$1:$F$35</definedName>
    <definedName name="_xlnm.Print_Area" localSheetId="2">'2012-13'!$A$1:$F$34</definedName>
    <definedName name="_xlnm.Print_Area" localSheetId="1">'2013-14'!$A$1:$F$35</definedName>
    <definedName name="_xlnm.Print_Area" localSheetId="0">'2014-15'!$A$1:$G$34</definedName>
  </definedNames>
  <calcPr fullCalcOnLoad="1"/>
</workbook>
</file>

<file path=xl/sharedStrings.xml><?xml version="1.0" encoding="utf-8"?>
<sst xmlns="http://schemas.openxmlformats.org/spreadsheetml/2006/main" count="554" uniqueCount="68">
  <si>
    <t>(millions)</t>
  </si>
  <si>
    <t xml:space="preserve">    Taxes</t>
  </si>
  <si>
    <t xml:space="preserve"> </t>
  </si>
  <si>
    <t xml:space="preserve">      User Taxes and Fees</t>
  </si>
  <si>
    <t xml:space="preserve">      Business Taxes</t>
  </si>
  <si>
    <t xml:space="preserve">      Other Taxes</t>
  </si>
  <si>
    <t xml:space="preserve">    Miscellaneous Receipts</t>
  </si>
  <si>
    <t xml:space="preserve">    Transfers from Other Funds</t>
  </si>
  <si>
    <t xml:space="preserve">  Total Receipts</t>
  </si>
  <si>
    <t xml:space="preserve">  Disbursements</t>
  </si>
  <si>
    <t xml:space="preserve">    Grants to Local Governments</t>
  </si>
  <si>
    <t xml:space="preserve">    State Operations</t>
  </si>
  <si>
    <t xml:space="preserve">    General State Charges</t>
  </si>
  <si>
    <t xml:space="preserve">    Transfers to Other Funds</t>
  </si>
  <si>
    <t xml:space="preserve">  Total Disbursements</t>
  </si>
  <si>
    <t>Closing Fund Balance</t>
  </si>
  <si>
    <t>SOURCE:  New York State Division of the Budget.</t>
  </si>
  <si>
    <t xml:space="preserve">      Personal Income Tax</t>
  </si>
  <si>
    <t>Opening Fund Balance</t>
  </si>
  <si>
    <t xml:space="preserve">    Federal Grants</t>
  </si>
  <si>
    <t>1 The General Fund is the principal operating fund of the state. All state income not required by law to be deposited in designated other funds must be deposited in the General Fund.</t>
  </si>
  <si>
    <t>New York State — Fiscal Year 2014-15</t>
  </si>
  <si>
    <t>Excess (Deficiency) of Receipts Over Disbursements</t>
  </si>
  <si>
    <t>New York State — Fiscal Year 2013-14</t>
  </si>
  <si>
    <r>
      <t>General Fund Cash Flow, Actual</t>
    </r>
    <r>
      <rPr>
        <b/>
        <vertAlign val="superscript"/>
        <sz val="16"/>
        <color indexed="8"/>
        <rFont val="Arial"/>
        <family val="2"/>
      </rPr>
      <t>1</t>
    </r>
  </si>
  <si>
    <t>First 
Quarter
 (Actual)</t>
  </si>
  <si>
    <t>Second 
Quarter
 (Actual)</t>
  </si>
  <si>
    <t>Third 
Quarter
 (Actual)</t>
  </si>
  <si>
    <t>Fourth 
Quarter
 (Actual)</t>
  </si>
  <si>
    <t>Total
(Actual)</t>
  </si>
  <si>
    <t>New York State — Fiscal Year 2012-13</t>
  </si>
  <si>
    <t>New York State — Fiscal Year 2011-12</t>
  </si>
  <si>
    <t>New York State — Fiscal Year 2010-11</t>
  </si>
  <si>
    <t>1 The General Fund is the principal operating fund of the State. All State income not required by law to be deposited in designated other funds must be deposited in the General Fund.</t>
  </si>
  <si>
    <t>New York State — Fiscal Year 2009-10</t>
  </si>
  <si>
    <t>1 The General Fund is the principal operating fund of the State.  All State income not required by law to be deposited in designated other funds must be deposited in the General Fund.</t>
  </si>
  <si>
    <t>New York State — Fiscal Year 2008-09</t>
  </si>
  <si>
    <t>1  The General Fund is the principal operating fund of the State. All State income not required by law to be deposited in designated other funds must be deposited in the General Fund.</t>
  </si>
  <si>
    <t>New York State — Fiscal Year 2007-08</t>
  </si>
  <si>
    <t>1  The General Fund is the principal operating fund of the State.  All State income not required by law to be deposited in designated other funds must be deposited in the General Fund.</t>
  </si>
  <si>
    <t>New York State — Fiscal Year 2005-06</t>
  </si>
  <si>
    <t>New York State — Fiscal Year 2004-05</t>
  </si>
  <si>
    <t xml:space="preserve">    Debt Service</t>
  </si>
  <si>
    <r>
      <t>Opening Fund Balance</t>
    </r>
    <r>
      <rPr>
        <vertAlign val="superscript"/>
        <sz val="11"/>
        <rFont val="Arial"/>
        <family val="2"/>
      </rPr>
      <t>2</t>
    </r>
  </si>
  <si>
    <r>
      <t xml:space="preserve">      Personal Income Tax</t>
    </r>
    <r>
      <rPr>
        <vertAlign val="superscript"/>
        <sz val="11"/>
        <rFont val="Arial"/>
        <family val="2"/>
      </rPr>
      <t>2</t>
    </r>
  </si>
  <si>
    <t>2  The opening balances and personal income tax receipts in 2004-05 have been adjusted to reflect the inclusion of the Personal Income Tax Refund Reserve in the General Fund beginning in 2005-06 pursuant to Section 70 of State Finance Law. This change in presentation has no impact on net financial plan results.</t>
  </si>
  <si>
    <t>New York State — Fiscal Year 2003-04</t>
  </si>
  <si>
    <t xml:space="preserve">    Tobacco Bond Proceeds</t>
  </si>
  <si>
    <t xml:space="preserve">1 The General Fund is the principal operating fund of the State.  </t>
  </si>
  <si>
    <t xml:space="preserve">   All State income not required by law to be deposited in designated</t>
  </si>
  <si>
    <t xml:space="preserve">   other funds must be deposited in the General Fund.</t>
  </si>
  <si>
    <t>0 Represents zero.</t>
  </si>
  <si>
    <t>New York State — Fiscal Year 2002-03</t>
  </si>
  <si>
    <t>New York State — Fiscal Year 2001-02</t>
  </si>
  <si>
    <t xml:space="preserve">                        </t>
  </si>
  <si>
    <t xml:space="preserve">                             $1,032a</t>
  </si>
  <si>
    <t xml:space="preserve">                              $1,032a</t>
  </si>
  <si>
    <t xml:space="preserve">                          $1,110a</t>
  </si>
  <si>
    <t>a  The balance reflects a $12 million year-end reclassification by the State Comptroller of the Fringe Benefit Escrow Fund from the Agency Group Fund to the General Fund.</t>
  </si>
  <si>
    <t>1  The General Fund is the principal operating fund of the State. All State income not required by law to be deposited in designated other funds must be deposited in the General Fund, including almost all (84%) of State tax receipts.</t>
  </si>
  <si>
    <t>New York State — Fiscal Year 2000-01</t>
  </si>
  <si>
    <t>1 The General Fund is the principal operating fund of the State. All State income not required by law to be deposited in designated other funds must be deposited in the General Fund, including almost all (81%) of State tax receipts.</t>
  </si>
  <si>
    <t>New York State — Fiscal Year 1999-2000(r)</t>
  </si>
  <si>
    <t>r  Revised.</t>
  </si>
  <si>
    <t>1 The General Fund is the principal operating fund of the State. All State income not required by law to be deposited in designated other funds must be deposited in the General Fund, including almost all (87%) of State tax receipts.</t>
  </si>
  <si>
    <t>New York State — Fiscal Year 1998-99</t>
  </si>
  <si>
    <t xml:space="preserve">                                    -3,261</t>
  </si>
  <si>
    <t>New York State — Fiscal Year 1997-98</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</si>
</sst>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0_);\(0.00\)"/>
    <numFmt numFmtId="166" formatCode="0_);\(0\)"/>
    <numFmt numFmtId="167" formatCode="&quot;$&quot;#,##0"/>
    <numFmt numFmtId="168" formatCode="[$-409]dddd\,\ mmmm\ d\,\ yyyy"/>
    <numFmt numFmtId="169" formatCode="[$-409]h:mm:ss\ AM/PM"/>
    <numFmt numFmtId="170" formatCode="&quot;$&quot;#,##0.00"/>
    <numFmt numFmtId="171" formatCode="&quot;$&quot;#,##0.0"/>
    <numFmt numFmtId="172" formatCode="#,##0.0"/>
  </numFmts>
  <fonts count="48">
    <font>
      <sz val="12"/>
      <name val="Rockwell"/>
      <family val="0"/>
    </font>
    <font>
      <b/>
      <sz val="18"/>
      <color indexed="8"/>
      <name val="Rockwell"/>
      <family val="0"/>
    </font>
    <font>
      <sz val="10"/>
      <name val="Arial"/>
      <family val="0"/>
    </font>
    <font>
      <sz val="12"/>
      <name val="Clearface Regular"/>
      <family val="1"/>
    </font>
    <font>
      <sz val="8"/>
      <name val="Clearface Regular"/>
      <family val="1"/>
    </font>
    <font>
      <u val="single"/>
      <sz val="10.45"/>
      <color indexed="12"/>
      <name val="Rockwell"/>
      <family val="1"/>
    </font>
    <font>
      <u val="single"/>
      <sz val="10.45"/>
      <color indexed="36"/>
      <name val="Rockwell"/>
      <family val="1"/>
    </font>
    <font>
      <sz val="12"/>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6"/>
      <color indexed="8"/>
      <name val="Arial"/>
      <family val="2"/>
    </font>
    <font>
      <b/>
      <vertAlign val="superscript"/>
      <sz val="16"/>
      <color indexed="8"/>
      <name val="Arial"/>
      <family val="2"/>
    </font>
    <font>
      <vertAlign val="superscript"/>
      <sz val="11"/>
      <name val="Arial"/>
      <family val="2"/>
    </font>
    <font>
      <b/>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bottom style="thin">
        <color indexed="8"/>
      </bottom>
    </border>
  </borders>
  <cellStyleXfs count="6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0" applyNumberFormat="0" applyBorder="0" applyAlignment="0" applyProtection="0"/>
    <xf numFmtId="0" fontId="34" fillId="28" borderId="1" applyNumberFormat="0" applyAlignment="0" applyProtection="0"/>
    <xf numFmtId="0" fontId="35" fillId="29"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0" fillId="33" borderId="7" applyNumberFormat="0" applyFont="0" applyAlignment="0" applyProtection="0"/>
    <xf numFmtId="0" fontId="44" fillId="28" borderId="8" applyNumberFormat="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7">
    <xf numFmtId="0" fontId="0" fillId="2" borderId="0" xfId="0" applyNumberFormat="1" applyAlignment="1">
      <alignment/>
    </xf>
    <xf numFmtId="0" fontId="3" fillId="2" borderId="0" xfId="0" applyNumberFormat="1" applyFont="1" applyAlignment="1">
      <alignment/>
    </xf>
    <xf numFmtId="3" fontId="3" fillId="2" borderId="0" xfId="0" applyNumberFormat="1" applyFont="1" applyAlignment="1">
      <alignment/>
    </xf>
    <xf numFmtId="166" fontId="4" fillId="2" borderId="0" xfId="0" applyNumberFormat="1" applyFont="1" applyAlignment="1">
      <alignment horizontal="left"/>
    </xf>
    <xf numFmtId="0" fontId="7" fillId="2" borderId="0" xfId="0" applyNumberFormat="1" applyFont="1" applyAlignment="1">
      <alignment/>
    </xf>
    <xf numFmtId="166" fontId="8" fillId="2" borderId="0" xfId="0" applyNumberFormat="1" applyFont="1" applyAlignment="1">
      <alignment horizontal="left"/>
    </xf>
    <xf numFmtId="3" fontId="7" fillId="2" borderId="0" xfId="0" applyNumberFormat="1" applyFont="1" applyAlignment="1">
      <alignment/>
    </xf>
    <xf numFmtId="5" fontId="26" fillId="2" borderId="0" xfId="0" applyNumberFormat="1" applyFont="1" applyAlignment="1" applyProtection="1">
      <alignment/>
      <protection locked="0"/>
    </xf>
    <xf numFmtId="0" fontId="26" fillId="2" borderId="0" xfId="0" applyNumberFormat="1" applyFont="1" applyAlignment="1">
      <alignment/>
    </xf>
    <xf numFmtId="0" fontId="26" fillId="2" borderId="10" xfId="0" applyNumberFormat="1" applyFont="1" applyBorder="1" applyAlignment="1">
      <alignment/>
    </xf>
    <xf numFmtId="3" fontId="26" fillId="2" borderId="0" xfId="0" applyNumberFormat="1" applyFont="1" applyAlignment="1" applyProtection="1" quotePrefix="1">
      <alignment horizontal="right"/>
      <protection locked="0"/>
    </xf>
    <xf numFmtId="0" fontId="26" fillId="2" borderId="0" xfId="0" applyNumberFormat="1" applyFont="1" applyAlignment="1" applyProtection="1">
      <alignment/>
      <protection locked="0"/>
    </xf>
    <xf numFmtId="167" fontId="26" fillId="0" borderId="0" xfId="0" applyNumberFormat="1" applyFont="1" applyFill="1" applyAlignment="1" applyProtection="1" quotePrefix="1">
      <alignment horizontal="right"/>
      <protection locked="0"/>
    </xf>
    <xf numFmtId="167" fontId="26" fillId="0" borderId="0" xfId="0" applyNumberFormat="1" applyFont="1" applyFill="1" applyAlignment="1" quotePrefix="1">
      <alignment horizontal="right"/>
    </xf>
    <xf numFmtId="167" fontId="26" fillId="2" borderId="0" xfId="0" applyNumberFormat="1" applyFont="1" applyAlignment="1" applyProtection="1" quotePrefix="1">
      <alignment horizontal="right"/>
      <protection locked="0"/>
    </xf>
    <xf numFmtId="3" fontId="26" fillId="0" borderId="0" xfId="0" applyNumberFormat="1" applyFont="1" applyFill="1" applyAlignment="1" applyProtection="1" quotePrefix="1">
      <alignment horizontal="right"/>
      <protection locked="0"/>
    </xf>
    <xf numFmtId="3" fontId="26" fillId="0" borderId="0" xfId="0" applyNumberFormat="1" applyFont="1" applyFill="1" applyAlignment="1" quotePrefix="1">
      <alignment horizontal="right"/>
    </xf>
    <xf numFmtId="3" fontId="26" fillId="0" borderId="0" xfId="0" applyNumberFormat="1" applyFont="1" applyFill="1" applyAlignment="1">
      <alignment horizontal="right"/>
    </xf>
    <xf numFmtId="3" fontId="26" fillId="2" borderId="0" xfId="0" applyNumberFormat="1" applyFont="1" applyAlignment="1">
      <alignment horizontal="right"/>
    </xf>
    <xf numFmtId="3" fontId="26" fillId="0" borderId="0" xfId="0" applyNumberFormat="1" applyFont="1" applyFill="1" applyAlignment="1" applyProtection="1">
      <alignment/>
      <protection locked="0"/>
    </xf>
    <xf numFmtId="3" fontId="26" fillId="2" borderId="0" xfId="0" applyNumberFormat="1" applyFont="1" applyAlignment="1" applyProtection="1">
      <alignment/>
      <protection locked="0"/>
    </xf>
    <xf numFmtId="0" fontId="26" fillId="0" borderId="0" xfId="0" applyNumberFormat="1" applyFont="1" applyFill="1" applyAlignment="1">
      <alignment/>
    </xf>
    <xf numFmtId="3" fontId="26" fillId="2" borderId="10" xfId="0" applyNumberFormat="1" applyFont="1" applyBorder="1" applyAlignment="1">
      <alignment/>
    </xf>
    <xf numFmtId="0" fontId="26" fillId="2" borderId="0" xfId="0" applyNumberFormat="1" applyFont="1" applyBorder="1" applyAlignment="1">
      <alignment/>
    </xf>
    <xf numFmtId="3" fontId="26" fillId="2" borderId="0" xfId="0" applyNumberFormat="1" applyFont="1" applyBorder="1" applyAlignment="1">
      <alignment/>
    </xf>
    <xf numFmtId="5" fontId="26" fillId="2" borderId="0" xfId="0" applyNumberFormat="1" applyFont="1" applyAlignment="1" applyProtection="1">
      <alignment/>
      <protection locked="0"/>
    </xf>
    <xf numFmtId="0" fontId="26" fillId="2" borderId="0" xfId="0" applyNumberFormat="1" applyFont="1" applyAlignment="1">
      <alignment/>
    </xf>
    <xf numFmtId="3" fontId="26" fillId="2" borderId="0" xfId="0" applyNumberFormat="1" applyFont="1" applyAlignment="1">
      <alignment/>
    </xf>
    <xf numFmtId="5" fontId="27" fillId="2" borderId="0" xfId="0" applyNumberFormat="1" applyFont="1" applyAlignment="1" applyProtection="1">
      <alignment/>
      <protection locked="0"/>
    </xf>
    <xf numFmtId="5" fontId="27" fillId="2" borderId="0" xfId="0" applyNumberFormat="1" applyFont="1" applyAlignment="1" applyProtection="1" quotePrefix="1">
      <alignment/>
      <protection locked="0"/>
    </xf>
    <xf numFmtId="167" fontId="26" fillId="2" borderId="0" xfId="0" applyNumberFormat="1" applyFont="1" applyAlignment="1">
      <alignment/>
    </xf>
    <xf numFmtId="166" fontId="26" fillId="2" borderId="0" xfId="0" applyNumberFormat="1" applyFont="1" applyAlignment="1">
      <alignment horizontal="left"/>
    </xf>
    <xf numFmtId="0" fontId="26" fillId="2" borderId="11" xfId="0" applyNumberFormat="1" applyFont="1" applyBorder="1" applyAlignment="1">
      <alignment/>
    </xf>
    <xf numFmtId="0" fontId="26" fillId="2" borderId="11" xfId="0" applyNumberFormat="1" applyFont="1" applyBorder="1" applyAlignment="1" applyProtection="1">
      <alignment horizontal="right" wrapText="1"/>
      <protection locked="0"/>
    </xf>
    <xf numFmtId="167" fontId="26" fillId="0" borderId="0" xfId="0" applyNumberFormat="1" applyFont="1" applyFill="1" applyAlignment="1">
      <alignment horizontal="right"/>
    </xf>
    <xf numFmtId="167" fontId="26" fillId="2" borderId="0" xfId="0" applyNumberFormat="1" applyFont="1" applyAlignment="1">
      <alignment horizontal="right"/>
    </xf>
    <xf numFmtId="167" fontId="26" fillId="0" borderId="0" xfId="0" applyNumberFormat="1" applyFont="1" applyFill="1" applyAlignment="1" applyProtection="1">
      <alignment/>
      <protection locked="0"/>
    </xf>
    <xf numFmtId="167" fontId="26" fillId="2" borderId="0" xfId="0" applyNumberFormat="1" applyFont="1" applyAlignment="1" applyProtection="1">
      <alignment/>
      <protection locked="0"/>
    </xf>
    <xf numFmtId="167" fontId="26" fillId="0" borderId="0" xfId="0" applyNumberFormat="1" applyFont="1" applyFill="1" applyAlignment="1" applyProtection="1">
      <alignment horizontal="right"/>
      <protection locked="0"/>
    </xf>
    <xf numFmtId="167" fontId="26" fillId="0" borderId="0" xfId="0" applyNumberFormat="1" applyFont="1" applyFill="1" applyAlignment="1">
      <alignment/>
    </xf>
    <xf numFmtId="5" fontId="26" fillId="2" borderId="0" xfId="0" applyNumberFormat="1" applyFont="1" applyAlignment="1" applyProtection="1">
      <alignment horizontal="left" wrapText="1"/>
      <protection locked="0"/>
    </xf>
    <xf numFmtId="0" fontId="26" fillId="2" borderId="0" xfId="0" applyNumberFormat="1" applyFont="1" applyAlignment="1">
      <alignment horizontal="right"/>
    </xf>
    <xf numFmtId="3" fontId="26" fillId="2" borderId="0" xfId="0" applyNumberFormat="1" applyFont="1" applyAlignment="1" quotePrefix="1">
      <alignment horizontal="right"/>
    </xf>
    <xf numFmtId="3" fontId="26" fillId="2" borderId="0" xfId="0" applyNumberFormat="1" applyFont="1" applyAlignment="1" applyProtection="1">
      <alignment horizontal="right"/>
      <protection locked="0"/>
    </xf>
    <xf numFmtId="167" fontId="26" fillId="2" borderId="0" xfId="0" applyNumberFormat="1" applyFont="1" applyAlignment="1" applyProtection="1">
      <alignment horizontal="right"/>
      <protection locked="0"/>
    </xf>
    <xf numFmtId="0" fontId="26" fillId="2" borderId="0" xfId="0" applyNumberFormat="1" applyFont="1" applyAlignment="1">
      <alignment vertical="center"/>
    </xf>
    <xf numFmtId="0" fontId="26" fillId="2" borderId="0" xfId="0" applyNumberFormat="1" applyFont="1" applyAlignment="1">
      <alignment wrapText="1"/>
    </xf>
    <xf numFmtId="5" fontId="26" fillId="2" borderId="0" xfId="0" applyNumberFormat="1" applyFont="1" applyAlignment="1" applyProtection="1">
      <alignment horizontal="left" vertical="center" wrapText="1"/>
      <protection locked="0"/>
    </xf>
    <xf numFmtId="37" fontId="26" fillId="2" borderId="0" xfId="0" applyNumberFormat="1" applyFont="1" applyAlignment="1">
      <alignment horizontal="right"/>
    </xf>
    <xf numFmtId="37" fontId="26" fillId="2" borderId="0" xfId="0" applyNumberFormat="1" applyFont="1" applyAlignment="1" applyProtection="1">
      <alignment horizontal="right"/>
      <protection locked="0"/>
    </xf>
    <xf numFmtId="3" fontId="26" fillId="2" borderId="0" xfId="0" applyNumberFormat="1" applyFont="1" applyAlignment="1">
      <alignment horizontal="left"/>
    </xf>
    <xf numFmtId="3" fontId="26" fillId="2" borderId="0" xfId="0" applyNumberFormat="1" applyFont="1" applyAlignment="1">
      <alignment/>
    </xf>
    <xf numFmtId="3" fontId="26" fillId="2" borderId="0" xfId="0" applyNumberFormat="1" applyFont="1" applyAlignment="1" applyProtection="1">
      <alignment horizontal="left" wrapText="1"/>
      <protection locked="0"/>
    </xf>
    <xf numFmtId="0" fontId="26" fillId="2" borderId="0" xfId="0" applyNumberFormat="1" applyFont="1" applyAlignment="1" applyProtection="1">
      <alignment horizontal="left"/>
      <protection locked="0"/>
    </xf>
    <xf numFmtId="5" fontId="30" fillId="2" borderId="0" xfId="0" applyNumberFormat="1" applyFont="1" applyAlignment="1" applyProtection="1">
      <alignment/>
      <protection locked="0"/>
    </xf>
    <xf numFmtId="0" fontId="30" fillId="2" borderId="0" xfId="0" applyNumberFormat="1" applyFont="1" applyAlignment="1">
      <alignment/>
    </xf>
    <xf numFmtId="0" fontId="30" fillId="2" borderId="0" xfId="0" applyNumberFormat="1" applyFont="1" applyAlignment="1">
      <alignment horizontal="right"/>
    </xf>
    <xf numFmtId="3" fontId="30" fillId="2" borderId="0" xfId="0" applyNumberFormat="1" applyFont="1" applyAlignment="1">
      <alignment horizontal="right"/>
    </xf>
    <xf numFmtId="3" fontId="30" fillId="2" borderId="0" xfId="0" applyNumberFormat="1" applyFont="1" applyAlignment="1" applyProtection="1">
      <alignment horizontal="right"/>
      <protection locked="0"/>
    </xf>
    <xf numFmtId="166" fontId="30" fillId="2" borderId="0" xfId="0" applyNumberFormat="1" applyFont="1" applyAlignment="1">
      <alignment horizontal="left"/>
    </xf>
    <xf numFmtId="1" fontId="30" fillId="2" borderId="0" xfId="0" applyNumberFormat="1" applyFont="1" applyAlignment="1">
      <alignment/>
    </xf>
    <xf numFmtId="3" fontId="30" fillId="2" borderId="0" xfId="0" applyNumberFormat="1" applyFont="1" applyAlignment="1" applyProtection="1">
      <alignment/>
      <protection locked="0"/>
    </xf>
    <xf numFmtId="172" fontId="26" fillId="2" borderId="0" xfId="0" applyNumberFormat="1" applyFont="1" applyAlignment="1">
      <alignment/>
    </xf>
    <xf numFmtId="0" fontId="30" fillId="2" borderId="10" xfId="0" applyNumberFormat="1" applyFont="1" applyBorder="1" applyAlignment="1">
      <alignment/>
    </xf>
    <xf numFmtId="3" fontId="30" fillId="2" borderId="10" xfId="0" applyNumberFormat="1" applyFont="1" applyBorder="1" applyAlignment="1">
      <alignment/>
    </xf>
    <xf numFmtId="3" fontId="30" fillId="2" borderId="0" xfId="0" applyNumberFormat="1" applyFont="1" applyAlignment="1">
      <alignment/>
    </xf>
    <xf numFmtId="167" fontId="30" fillId="2" borderId="0" xfId="0" applyNumberFormat="1" applyFont="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showGridLines="0" tabSelected="1" showOutlineSymbols="0" zoomScale="87" zoomScaleNormal="87" zoomScalePageLayoutView="0" workbookViewId="0" topLeftCell="A1">
      <selection activeCell="A1" sqref="A1"/>
    </sheetView>
  </sheetViews>
  <sheetFormatPr defaultColWidth="11.4453125" defaultRowHeight="15.75"/>
  <cols>
    <col min="1" max="1" width="39.6640625" style="1" customWidth="1"/>
    <col min="2" max="2" width="13.6640625" style="1" customWidth="1"/>
    <col min="3" max="5" width="20.6640625" style="1" customWidth="1"/>
    <col min="6" max="6" width="19.88671875" style="1" customWidth="1"/>
    <col min="7" max="7" width="2.99609375" style="3" customWidth="1"/>
    <col min="8" max="251" width="13.6640625" style="1" customWidth="1"/>
    <col min="252" max="16384" width="11.4453125" style="1" customWidth="1"/>
  </cols>
  <sheetData>
    <row r="1" spans="1:8" ht="23.25">
      <c r="A1" s="28" t="s">
        <v>24</v>
      </c>
      <c r="B1" s="7"/>
      <c r="C1" s="7"/>
      <c r="D1" s="7"/>
      <c r="E1" s="8"/>
      <c r="G1" s="31"/>
      <c r="H1" s="8"/>
    </row>
    <row r="2" spans="1:8" ht="20.25">
      <c r="A2" s="29" t="s">
        <v>21</v>
      </c>
      <c r="B2" s="7"/>
      <c r="C2" s="7"/>
      <c r="D2" s="8"/>
      <c r="E2" s="8"/>
      <c r="F2" s="8"/>
      <c r="G2" s="31"/>
      <c r="H2" s="8"/>
    </row>
    <row r="3" spans="1:8" ht="20.25">
      <c r="A3" s="28" t="s">
        <v>0</v>
      </c>
      <c r="B3" s="7"/>
      <c r="C3" s="7"/>
      <c r="D3" s="8"/>
      <c r="E3" s="8"/>
      <c r="F3" s="8"/>
      <c r="G3" s="31"/>
      <c r="H3" s="8"/>
    </row>
    <row r="4" spans="1:8" ht="15.75">
      <c r="A4" s="8"/>
      <c r="B4" s="8"/>
      <c r="C4" s="8"/>
      <c r="D4" s="8"/>
      <c r="E4" s="8"/>
      <c r="F4" s="8"/>
      <c r="G4" s="31"/>
      <c r="H4" s="8"/>
    </row>
    <row r="5" spans="1:8" ht="43.5">
      <c r="A5" s="32"/>
      <c r="B5" s="33" t="s">
        <v>25</v>
      </c>
      <c r="C5" s="33" t="s">
        <v>26</v>
      </c>
      <c r="D5" s="33" t="s">
        <v>27</v>
      </c>
      <c r="E5" s="33" t="s">
        <v>28</v>
      </c>
      <c r="F5" s="33" t="s">
        <v>29</v>
      </c>
      <c r="G5" s="31"/>
      <c r="H5" s="8"/>
    </row>
    <row r="6" spans="1:8" ht="15.75">
      <c r="A6" s="8"/>
      <c r="B6" s="10"/>
      <c r="C6" s="8"/>
      <c r="D6" s="8"/>
      <c r="E6" s="10"/>
      <c r="F6" s="10"/>
      <c r="G6" s="31"/>
      <c r="H6" s="8"/>
    </row>
    <row r="7" spans="1:8" ht="15.75">
      <c r="A7" s="11" t="s">
        <v>18</v>
      </c>
      <c r="B7" s="12">
        <v>2235</v>
      </c>
      <c r="C7" s="13">
        <v>5131</v>
      </c>
      <c r="D7" s="30">
        <v>8053</v>
      </c>
      <c r="E7" s="30">
        <v>8254</v>
      </c>
      <c r="F7" s="30">
        <v>2235</v>
      </c>
      <c r="G7" s="31"/>
      <c r="H7" s="30"/>
    </row>
    <row r="8" spans="1:8" ht="15.75">
      <c r="A8" s="8"/>
      <c r="B8" s="12"/>
      <c r="C8" s="13"/>
      <c r="D8" s="13"/>
      <c r="E8" s="14"/>
      <c r="F8" s="14"/>
      <c r="G8" s="31"/>
      <c r="H8" s="8"/>
    </row>
    <row r="9" spans="1:8" ht="15.75">
      <c r="A9" s="11" t="s">
        <v>1</v>
      </c>
      <c r="B9" s="34" t="s">
        <v>2</v>
      </c>
      <c r="C9" s="34" t="s">
        <v>2</v>
      </c>
      <c r="D9" s="34" t="s">
        <v>2</v>
      </c>
      <c r="E9" s="35" t="s">
        <v>2</v>
      </c>
      <c r="F9" s="35" t="s">
        <v>2</v>
      </c>
      <c r="G9" s="31"/>
      <c r="H9" s="8"/>
    </row>
    <row r="10" spans="1:8" ht="15.75">
      <c r="A10" s="11" t="s">
        <v>17</v>
      </c>
      <c r="B10" s="12">
        <v>8350</v>
      </c>
      <c r="C10" s="12">
        <v>6686</v>
      </c>
      <c r="D10" s="12">
        <v>6812</v>
      </c>
      <c r="E10" s="14">
        <v>7637</v>
      </c>
      <c r="F10" s="14">
        <v>29485</v>
      </c>
      <c r="G10" s="31"/>
      <c r="H10" s="30"/>
    </row>
    <row r="11" spans="1:8" ht="15.75">
      <c r="A11" s="11" t="s">
        <v>3</v>
      </c>
      <c r="B11" s="36">
        <v>1669</v>
      </c>
      <c r="C11" s="36">
        <v>1721</v>
      </c>
      <c r="D11" s="36">
        <v>1702</v>
      </c>
      <c r="E11" s="37">
        <v>1599</v>
      </c>
      <c r="F11" s="14">
        <v>6691</v>
      </c>
      <c r="G11" s="31"/>
      <c r="H11" s="30"/>
    </row>
    <row r="12" spans="1:8" ht="15.75">
      <c r="A12" s="11" t="s">
        <v>4</v>
      </c>
      <c r="B12" s="36">
        <v>1744</v>
      </c>
      <c r="C12" s="36">
        <v>980</v>
      </c>
      <c r="D12" s="36">
        <v>1005</v>
      </c>
      <c r="E12" s="37">
        <v>2536</v>
      </c>
      <c r="F12" s="14">
        <v>6265</v>
      </c>
      <c r="G12" s="31"/>
      <c r="H12" s="30"/>
    </row>
    <row r="13" spans="1:8" ht="15.75">
      <c r="A13" s="11" t="s">
        <v>5</v>
      </c>
      <c r="B13" s="36">
        <v>276</v>
      </c>
      <c r="C13" s="36">
        <v>297</v>
      </c>
      <c r="D13" s="36">
        <v>295</v>
      </c>
      <c r="E13" s="37">
        <v>260</v>
      </c>
      <c r="F13" s="14">
        <v>1128</v>
      </c>
      <c r="G13" s="31"/>
      <c r="H13" s="30"/>
    </row>
    <row r="14" spans="1:8" ht="15.75">
      <c r="A14" s="11" t="s">
        <v>6</v>
      </c>
      <c r="B14" s="36">
        <v>2148</v>
      </c>
      <c r="C14" s="36">
        <v>3183</v>
      </c>
      <c r="D14" s="36">
        <v>1470</v>
      </c>
      <c r="E14" s="37">
        <v>1609</v>
      </c>
      <c r="F14" s="14">
        <v>8410</v>
      </c>
      <c r="G14" s="31"/>
      <c r="H14" s="30"/>
    </row>
    <row r="15" spans="1:8" ht="15.75">
      <c r="A15" s="11" t="s">
        <v>19</v>
      </c>
      <c r="B15" s="38">
        <v>1</v>
      </c>
      <c r="C15" s="38">
        <v>0</v>
      </c>
      <c r="D15" s="38">
        <v>0</v>
      </c>
      <c r="E15" s="38">
        <v>1</v>
      </c>
      <c r="F15" s="38">
        <v>2</v>
      </c>
      <c r="G15" s="31"/>
      <c r="H15" s="30"/>
    </row>
    <row r="16" spans="1:8" ht="15.75">
      <c r="A16" s="11" t="s">
        <v>7</v>
      </c>
      <c r="B16" s="36">
        <v>4638</v>
      </c>
      <c r="C16" s="36">
        <v>3690</v>
      </c>
      <c r="D16" s="36">
        <v>3614</v>
      </c>
      <c r="E16" s="37">
        <v>3998</v>
      </c>
      <c r="F16" s="14">
        <v>15940</v>
      </c>
      <c r="G16" s="31"/>
      <c r="H16" s="30"/>
    </row>
    <row r="17" spans="1:8" ht="15.75">
      <c r="A17" s="11"/>
      <c r="B17" s="39"/>
      <c r="C17" s="39"/>
      <c r="D17" s="39"/>
      <c r="E17" s="39"/>
      <c r="F17" s="39"/>
      <c r="G17" s="31"/>
      <c r="H17" s="8"/>
    </row>
    <row r="18" spans="1:8" ht="15.75">
      <c r="A18" s="11" t="s">
        <v>8</v>
      </c>
      <c r="B18" s="12">
        <f>SUM(B10:B16)</f>
        <v>18826</v>
      </c>
      <c r="C18" s="12">
        <f>SUM(C10:C16)</f>
        <v>16557</v>
      </c>
      <c r="D18" s="12">
        <f>SUM(D10:D16)</f>
        <v>14898</v>
      </c>
      <c r="E18" s="12">
        <f>SUM(E10:E16)</f>
        <v>17640</v>
      </c>
      <c r="F18" s="12">
        <f>SUM(F10:F16)</f>
        <v>67921</v>
      </c>
      <c r="G18" s="31"/>
      <c r="H18" s="8"/>
    </row>
    <row r="19" spans="1:8" ht="15.75">
      <c r="A19" s="8"/>
      <c r="B19" s="36"/>
      <c r="C19" s="36"/>
      <c r="D19" s="39"/>
      <c r="E19" s="30"/>
      <c r="F19" s="37"/>
      <c r="G19" s="31"/>
      <c r="H19" s="8"/>
    </row>
    <row r="20" spans="1:8" ht="15.75">
      <c r="A20" s="11" t="s">
        <v>9</v>
      </c>
      <c r="B20" s="36"/>
      <c r="C20" s="36"/>
      <c r="D20" s="36"/>
      <c r="E20" s="37"/>
      <c r="F20" s="37"/>
      <c r="G20" s="31"/>
      <c r="H20" s="8"/>
    </row>
    <row r="21" spans="1:8" ht="15.75">
      <c r="A21" s="11" t="s">
        <v>10</v>
      </c>
      <c r="B21" s="36">
        <v>10386</v>
      </c>
      <c r="C21" s="36">
        <v>8033</v>
      </c>
      <c r="D21" s="36">
        <v>9407</v>
      </c>
      <c r="E21" s="37">
        <v>13766</v>
      </c>
      <c r="F21" s="14">
        <v>41592</v>
      </c>
      <c r="G21" s="31"/>
      <c r="H21" s="30"/>
    </row>
    <row r="22" spans="1:8" ht="15.75">
      <c r="A22" s="11" t="s">
        <v>11</v>
      </c>
      <c r="B22" s="36">
        <v>1799</v>
      </c>
      <c r="C22" s="36">
        <v>1933</v>
      </c>
      <c r="D22" s="36">
        <v>1993</v>
      </c>
      <c r="E22" s="37">
        <v>1939</v>
      </c>
      <c r="F22" s="14">
        <v>7664</v>
      </c>
      <c r="G22" s="31"/>
      <c r="H22" s="30"/>
    </row>
    <row r="23" spans="1:8" ht="15.75">
      <c r="A23" s="11" t="s">
        <v>12</v>
      </c>
      <c r="B23" s="36">
        <v>1510</v>
      </c>
      <c r="C23" s="36">
        <v>1975</v>
      </c>
      <c r="D23" s="36">
        <v>854</v>
      </c>
      <c r="E23" s="37">
        <v>660</v>
      </c>
      <c r="F23" s="14">
        <v>4999</v>
      </c>
      <c r="G23" s="31"/>
      <c r="H23" s="30"/>
    </row>
    <row r="24" spans="1:8" ht="15.75">
      <c r="A24" s="11" t="s">
        <v>13</v>
      </c>
      <c r="B24" s="36">
        <v>2235</v>
      </c>
      <c r="C24" s="36">
        <v>1694</v>
      </c>
      <c r="D24" s="36">
        <v>2443</v>
      </c>
      <c r="E24" s="37">
        <v>2229</v>
      </c>
      <c r="F24" s="14">
        <v>8601</v>
      </c>
      <c r="G24" s="31"/>
      <c r="H24" s="30"/>
    </row>
    <row r="25" spans="1:8" ht="15.75">
      <c r="A25" s="8"/>
      <c r="B25" s="12"/>
      <c r="C25" s="12"/>
      <c r="D25" s="12"/>
      <c r="E25" s="12"/>
      <c r="F25" s="12"/>
      <c r="G25" s="31"/>
      <c r="H25" s="8"/>
    </row>
    <row r="26" spans="1:8" ht="15.75">
      <c r="A26" s="11" t="s">
        <v>14</v>
      </c>
      <c r="B26" s="12">
        <f>SUM(B21:B24)</f>
        <v>15930</v>
      </c>
      <c r="C26" s="12">
        <f>SUM(C21:C24)</f>
        <v>13635</v>
      </c>
      <c r="D26" s="12">
        <f>SUM(D21:D24)</f>
        <v>14697</v>
      </c>
      <c r="E26" s="12">
        <f>SUM(E21:E24)</f>
        <v>18594</v>
      </c>
      <c r="F26" s="12">
        <f>SUM(F21:F24)</f>
        <v>62856</v>
      </c>
      <c r="G26" s="31"/>
      <c r="H26" s="8"/>
    </row>
    <row r="27" spans="1:8" ht="15.75">
      <c r="A27" s="8"/>
      <c r="B27" s="39"/>
      <c r="C27" s="36"/>
      <c r="D27" s="36"/>
      <c r="E27" s="37"/>
      <c r="F27" s="37"/>
      <c r="G27" s="31"/>
      <c r="H27" s="8"/>
    </row>
    <row r="28" spans="1:8" ht="15.75">
      <c r="A28" s="11" t="s">
        <v>22</v>
      </c>
      <c r="B28" s="12">
        <v>2896</v>
      </c>
      <c r="C28" s="30">
        <v>2922</v>
      </c>
      <c r="D28" s="30">
        <v>201</v>
      </c>
      <c r="E28" s="30">
        <v>-954</v>
      </c>
      <c r="F28" s="30">
        <v>5065</v>
      </c>
      <c r="G28" s="31"/>
      <c r="H28" s="30"/>
    </row>
    <row r="29" spans="1:8" ht="15.75">
      <c r="A29" s="8"/>
      <c r="B29" s="12"/>
      <c r="C29" s="30"/>
      <c r="D29" s="30"/>
      <c r="E29" s="30"/>
      <c r="F29" s="30"/>
      <c r="G29" s="31"/>
      <c r="H29" s="8"/>
    </row>
    <row r="30" spans="1:8" ht="15.75">
      <c r="A30" s="11" t="s">
        <v>15</v>
      </c>
      <c r="B30" s="12">
        <v>5131</v>
      </c>
      <c r="C30" s="30">
        <v>8053</v>
      </c>
      <c r="D30" s="30">
        <v>8254</v>
      </c>
      <c r="E30" s="30">
        <v>7300</v>
      </c>
      <c r="F30" s="30">
        <v>7300</v>
      </c>
      <c r="G30" s="31"/>
      <c r="H30" s="8"/>
    </row>
    <row r="31" spans="1:8" ht="15.75">
      <c r="A31" s="9"/>
      <c r="B31" s="22"/>
      <c r="C31" s="22"/>
      <c r="D31" s="22"/>
      <c r="E31" s="22"/>
      <c r="F31" s="22"/>
      <c r="G31" s="31"/>
      <c r="H31" s="8"/>
    </row>
    <row r="32" spans="1:8" ht="15.75">
      <c r="A32" s="25" t="s">
        <v>20</v>
      </c>
      <c r="B32" s="24"/>
      <c r="C32" s="24"/>
      <c r="D32" s="24"/>
      <c r="E32" s="24"/>
      <c r="F32" s="24"/>
      <c r="G32" s="31"/>
      <c r="H32" s="8"/>
    </row>
    <row r="33" spans="1:8" ht="15.75">
      <c r="A33" s="25"/>
      <c r="B33" s="24"/>
      <c r="C33" s="24"/>
      <c r="D33" s="24"/>
      <c r="E33" s="24"/>
      <c r="F33" s="24"/>
      <c r="G33" s="31"/>
      <c r="H33" s="8"/>
    </row>
    <row r="34" spans="1:8" ht="21.75" customHeight="1">
      <c r="A34" s="7" t="s">
        <v>16</v>
      </c>
      <c r="B34" s="20"/>
      <c r="C34" s="20"/>
      <c r="D34" s="20"/>
      <c r="E34" s="27"/>
      <c r="F34" s="27"/>
      <c r="G34" s="31"/>
      <c r="H34" s="8"/>
    </row>
    <row r="35" spans="1:8" ht="15.75">
      <c r="A35" s="7"/>
      <c r="B35" s="20"/>
      <c r="C35" s="20"/>
      <c r="D35" s="20"/>
      <c r="E35" s="27"/>
      <c r="F35" s="27"/>
      <c r="G35" s="31"/>
      <c r="H35" s="8"/>
    </row>
    <row r="36" spans="1:8" ht="15.75">
      <c r="A36" s="7"/>
      <c r="B36" s="20"/>
      <c r="C36" s="20"/>
      <c r="D36" s="20"/>
      <c r="E36" s="27"/>
      <c r="F36" s="27"/>
      <c r="G36" s="31"/>
      <c r="H36" s="8"/>
    </row>
    <row r="37" spans="1:8" ht="15.75">
      <c r="A37" s="8"/>
      <c r="B37" s="27"/>
      <c r="C37" s="27"/>
      <c r="D37" s="27"/>
      <c r="E37" s="27"/>
      <c r="F37" s="27"/>
      <c r="G37" s="31"/>
      <c r="H37" s="8"/>
    </row>
    <row r="38" spans="1:8" ht="15.75">
      <c r="A38" s="8"/>
      <c r="B38" s="27"/>
      <c r="C38" s="27"/>
      <c r="D38" s="27"/>
      <c r="E38" s="27"/>
      <c r="F38" s="27"/>
      <c r="G38" s="31"/>
      <c r="H38" s="8"/>
    </row>
    <row r="39" spans="1:8" ht="15.75">
      <c r="A39" s="8"/>
      <c r="B39" s="27"/>
      <c r="C39" s="27"/>
      <c r="D39" s="27"/>
      <c r="E39" s="27"/>
      <c r="F39" s="27"/>
      <c r="G39" s="31"/>
      <c r="H39" s="8"/>
    </row>
    <row r="40" spans="1:8" ht="15.75">
      <c r="A40" s="4"/>
      <c r="B40" s="6"/>
      <c r="C40" s="6"/>
      <c r="D40" s="6"/>
      <c r="E40" s="6"/>
      <c r="F40" s="6"/>
      <c r="G40" s="5"/>
      <c r="H40" s="4"/>
    </row>
    <row r="41" spans="1:8" ht="15.75">
      <c r="A41" s="4"/>
      <c r="B41" s="6"/>
      <c r="C41" s="6"/>
      <c r="D41" s="6"/>
      <c r="E41" s="6"/>
      <c r="F41" s="6"/>
      <c r="G41" s="5"/>
      <c r="H41" s="4"/>
    </row>
    <row r="42" spans="1:8" ht="15.75">
      <c r="A42" s="4"/>
      <c r="B42" s="6"/>
      <c r="C42" s="6"/>
      <c r="D42" s="6"/>
      <c r="E42" s="6"/>
      <c r="F42" s="6"/>
      <c r="G42" s="5"/>
      <c r="H42" s="4"/>
    </row>
    <row r="43" spans="2:6" ht="15.75">
      <c r="B43" s="2"/>
      <c r="C43" s="2"/>
      <c r="D43" s="2"/>
      <c r="E43" s="2"/>
      <c r="F43" s="2"/>
    </row>
    <row r="44" spans="2:6" ht="15.75">
      <c r="B44" s="2"/>
      <c r="C44" s="2"/>
      <c r="D44" s="2"/>
      <c r="E44" s="2"/>
      <c r="F44" s="2"/>
    </row>
    <row r="45" spans="2:6" ht="15.75">
      <c r="B45" s="2"/>
      <c r="C45" s="2"/>
      <c r="D45" s="2"/>
      <c r="E45" s="2"/>
      <c r="F45" s="2"/>
    </row>
    <row r="46" spans="2:6" ht="15.75">
      <c r="B46" s="2"/>
      <c r="C46" s="2"/>
      <c r="D46" s="2"/>
      <c r="E46" s="2"/>
      <c r="F46" s="2"/>
    </row>
    <row r="47" spans="2:6" ht="15.75">
      <c r="B47" s="2"/>
      <c r="C47" s="2"/>
      <c r="D47" s="2"/>
      <c r="E47" s="2"/>
      <c r="F47" s="2"/>
    </row>
    <row r="48" spans="2:6" ht="15.75">
      <c r="B48" s="2"/>
      <c r="C48" s="2"/>
      <c r="D48" s="2"/>
      <c r="E48" s="2"/>
      <c r="F48" s="2"/>
    </row>
    <row r="49" spans="2:6" ht="15.75">
      <c r="B49" s="2"/>
      <c r="C49" s="2"/>
      <c r="D49" s="2"/>
      <c r="E49" s="2"/>
      <c r="F49" s="2"/>
    </row>
    <row r="50" spans="2:6" ht="15.75">
      <c r="B50" s="2"/>
      <c r="C50" s="2"/>
      <c r="D50" s="2"/>
      <c r="E50" s="2"/>
      <c r="F50" s="2"/>
    </row>
    <row r="51" spans="2:6" ht="15.75">
      <c r="B51" s="2"/>
      <c r="C51" s="2"/>
      <c r="D51" s="2"/>
      <c r="E51" s="2"/>
      <c r="F51" s="2"/>
    </row>
    <row r="52" spans="2:6" ht="15.75">
      <c r="B52" s="2"/>
      <c r="C52" s="2"/>
      <c r="D52" s="2"/>
      <c r="E52" s="2"/>
      <c r="F52" s="2"/>
    </row>
    <row r="53" spans="2:6" ht="15.75">
      <c r="B53" s="2"/>
      <c r="C53" s="2"/>
      <c r="D53" s="2"/>
      <c r="E53" s="2"/>
      <c r="F53" s="2"/>
    </row>
    <row r="54" spans="2:6" ht="15.75">
      <c r="B54" s="2"/>
      <c r="C54" s="2"/>
      <c r="D54" s="2"/>
      <c r="E54" s="2"/>
      <c r="F54" s="2"/>
    </row>
    <row r="55" spans="2:6" ht="15.75">
      <c r="B55" s="2"/>
      <c r="C55" s="2"/>
      <c r="D55" s="2"/>
      <c r="E55" s="2"/>
      <c r="F55" s="2"/>
    </row>
    <row r="56" spans="2:6" ht="15.75">
      <c r="B56" s="2"/>
      <c r="C56" s="2"/>
      <c r="D56" s="2"/>
      <c r="E56" s="2"/>
      <c r="F56" s="2"/>
    </row>
    <row r="57" spans="2:6" ht="15.75">
      <c r="B57" s="2"/>
      <c r="C57" s="2"/>
      <c r="D57" s="2"/>
      <c r="E57" s="2"/>
      <c r="F57" s="2"/>
    </row>
    <row r="58" spans="2:6" ht="15.75">
      <c r="B58" s="2"/>
      <c r="C58" s="2"/>
      <c r="D58" s="2"/>
      <c r="E58" s="2"/>
      <c r="F58" s="2"/>
    </row>
    <row r="59" spans="2:6" ht="15.75">
      <c r="B59" s="2"/>
      <c r="C59" s="2"/>
      <c r="D59" s="2"/>
      <c r="E59" s="2"/>
      <c r="F59" s="2"/>
    </row>
    <row r="60" spans="2:6" ht="15.75">
      <c r="B60" s="2"/>
      <c r="C60" s="2"/>
      <c r="D60" s="2"/>
      <c r="E60" s="2"/>
      <c r="F60" s="2"/>
    </row>
    <row r="61" spans="2:6" ht="15.75">
      <c r="B61" s="2"/>
      <c r="C61" s="2"/>
      <c r="D61" s="2"/>
      <c r="E61" s="2"/>
      <c r="F61" s="2"/>
    </row>
    <row r="62" spans="2:6" ht="15.75">
      <c r="B62" s="2"/>
      <c r="C62" s="2"/>
      <c r="D62" s="2"/>
      <c r="E62" s="2"/>
      <c r="F62" s="2"/>
    </row>
    <row r="63" spans="2:6" ht="15.75">
      <c r="B63" s="2"/>
      <c r="C63" s="2"/>
      <c r="D63" s="2"/>
      <c r="E63" s="2"/>
      <c r="F63" s="2"/>
    </row>
    <row r="64" spans="2:6" ht="15.75">
      <c r="B64" s="2"/>
      <c r="C64" s="2"/>
      <c r="D64" s="2"/>
      <c r="E64" s="2"/>
      <c r="F64" s="2"/>
    </row>
    <row r="65" spans="2:6" ht="15.75">
      <c r="B65" s="2"/>
      <c r="C65" s="2"/>
      <c r="D65" s="2"/>
      <c r="E65" s="2"/>
      <c r="F65" s="2"/>
    </row>
    <row r="66" spans="2:6" ht="15.75">
      <c r="B66" s="2"/>
      <c r="C66" s="2"/>
      <c r="D66" s="2"/>
      <c r="E66" s="2"/>
      <c r="F66" s="2"/>
    </row>
    <row r="67" spans="2:6" ht="15.75">
      <c r="B67" s="2"/>
      <c r="C67" s="2"/>
      <c r="D67" s="2"/>
      <c r="E67" s="2"/>
      <c r="F67" s="2"/>
    </row>
    <row r="68" spans="2:6" ht="15.75">
      <c r="B68" s="2"/>
      <c r="C68" s="2"/>
      <c r="D68" s="2"/>
      <c r="E68" s="2"/>
      <c r="F68" s="2"/>
    </row>
    <row r="69" spans="2:6" ht="15.75">
      <c r="B69" s="2"/>
      <c r="C69" s="2"/>
      <c r="D69" s="2"/>
      <c r="E69" s="2"/>
      <c r="F69" s="2"/>
    </row>
    <row r="70" spans="2:6" ht="15.75">
      <c r="B70" s="2"/>
      <c r="C70" s="2"/>
      <c r="D70" s="2"/>
      <c r="E70" s="2"/>
      <c r="F70" s="2"/>
    </row>
    <row r="71" spans="2:6" ht="15.75">
      <c r="B71" s="2"/>
      <c r="C71" s="2"/>
      <c r="D71" s="2"/>
      <c r="E71" s="2"/>
      <c r="F71" s="2"/>
    </row>
    <row r="72" spans="2:6" ht="15.75">
      <c r="B72" s="2"/>
      <c r="C72" s="2"/>
      <c r="D72" s="2"/>
      <c r="E72" s="2"/>
      <c r="F72" s="2"/>
    </row>
    <row r="73" spans="2:6" ht="15.75">
      <c r="B73" s="2"/>
      <c r="C73" s="2"/>
      <c r="D73" s="2"/>
      <c r="E73" s="2"/>
      <c r="F73" s="2"/>
    </row>
    <row r="74" spans="2:6" ht="15.75">
      <c r="B74" s="2"/>
      <c r="C74" s="2"/>
      <c r="D74" s="2"/>
      <c r="E74" s="2"/>
      <c r="F74" s="2"/>
    </row>
    <row r="75" spans="2:6" ht="15.75">
      <c r="B75" s="2"/>
      <c r="C75" s="2"/>
      <c r="D75" s="2"/>
      <c r="E75" s="2"/>
      <c r="F75" s="2"/>
    </row>
    <row r="76" spans="2:6" ht="15.75">
      <c r="B76" s="2"/>
      <c r="C76" s="2"/>
      <c r="D76" s="2"/>
      <c r="E76" s="2"/>
      <c r="F76" s="2"/>
    </row>
    <row r="77" spans="2:6" ht="15.75">
      <c r="B77" s="2"/>
      <c r="C77" s="2"/>
      <c r="D77" s="2"/>
      <c r="E77" s="2"/>
      <c r="F77" s="2"/>
    </row>
    <row r="78" spans="2:6" ht="15.75">
      <c r="B78" s="2"/>
      <c r="C78" s="2"/>
      <c r="D78" s="2"/>
      <c r="E78" s="2"/>
      <c r="F78" s="2"/>
    </row>
    <row r="79" spans="2:6" ht="15.75">
      <c r="B79" s="2"/>
      <c r="C79" s="2"/>
      <c r="D79" s="2"/>
      <c r="E79" s="2"/>
      <c r="F79" s="2"/>
    </row>
    <row r="80" spans="2:6" ht="15.75">
      <c r="B80" s="2"/>
      <c r="C80" s="2"/>
      <c r="D80" s="2"/>
      <c r="E80" s="2"/>
      <c r="F80" s="2"/>
    </row>
    <row r="81" spans="2:6" ht="15.75">
      <c r="B81" s="2"/>
      <c r="C81" s="2"/>
      <c r="D81" s="2"/>
      <c r="E81" s="2"/>
      <c r="F81" s="2"/>
    </row>
    <row r="82" spans="2:6" ht="15.75">
      <c r="B82" s="2"/>
      <c r="C82" s="2"/>
      <c r="D82" s="2"/>
      <c r="E82" s="2"/>
      <c r="F82" s="2"/>
    </row>
    <row r="83" spans="2:6" ht="15.75">
      <c r="B83" s="2"/>
      <c r="C83" s="2"/>
      <c r="D83" s="2"/>
      <c r="E83" s="2"/>
      <c r="F83" s="2"/>
    </row>
    <row r="84" spans="2:6" ht="15.75">
      <c r="B84" s="2"/>
      <c r="C84" s="2"/>
      <c r="D84" s="2"/>
      <c r="E84" s="2"/>
      <c r="F84" s="2"/>
    </row>
    <row r="85" spans="2:6" ht="15.75">
      <c r="B85" s="2"/>
      <c r="C85" s="2"/>
      <c r="D85" s="2"/>
      <c r="E85" s="2"/>
      <c r="F85" s="2"/>
    </row>
    <row r="86" spans="2:6" ht="15.75">
      <c r="B86" s="2"/>
      <c r="C86" s="2"/>
      <c r="D86" s="2"/>
      <c r="E86" s="2"/>
      <c r="F86" s="2"/>
    </row>
    <row r="87" spans="2:6" ht="15.75">
      <c r="B87" s="2"/>
      <c r="C87" s="2"/>
      <c r="D87" s="2"/>
      <c r="E87" s="2"/>
      <c r="F87" s="2"/>
    </row>
    <row r="88" spans="2:6" ht="15.75">
      <c r="B88" s="2"/>
      <c r="C88" s="2"/>
      <c r="D88" s="2"/>
      <c r="E88" s="2"/>
      <c r="F88" s="2"/>
    </row>
  </sheetData>
  <sheetProtection/>
  <printOptions/>
  <pageMargins left="0.573" right="0.25" top="0.75" bottom="0.75" header="0.5" footer="0.5"/>
  <pageSetup fitToHeight="1" fitToWidth="1" horizontalDpi="600" verticalDpi="600" orientation="landscape" scale="81" r:id="rId1"/>
</worksheet>
</file>

<file path=xl/worksheets/sheet10.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F1" sqref="F1"/>
    </sheetView>
  </sheetViews>
  <sheetFormatPr defaultColWidth="8.88671875" defaultRowHeight="15.75"/>
  <cols>
    <col min="1" max="1" width="39.77734375" style="0" customWidth="1"/>
    <col min="2" max="16384" width="13.77734375" style="0" customWidth="1"/>
  </cols>
  <sheetData>
    <row r="1" spans="1:8" ht="23.25">
      <c r="A1" s="28" t="s">
        <v>24</v>
      </c>
      <c r="B1" s="7"/>
      <c r="C1" s="7"/>
      <c r="D1" s="7"/>
      <c r="E1" s="8"/>
      <c r="G1" s="31"/>
      <c r="H1" s="8"/>
    </row>
    <row r="2" spans="1:8" ht="20.25">
      <c r="A2" s="29" t="s">
        <v>41</v>
      </c>
      <c r="B2" s="7"/>
      <c r="C2" s="7"/>
      <c r="D2" s="8"/>
      <c r="E2" s="8"/>
      <c r="F2" s="8"/>
      <c r="G2" s="31"/>
      <c r="H2" s="8"/>
    </row>
    <row r="3" spans="1:8" ht="20.25">
      <c r="A3" s="28" t="s">
        <v>0</v>
      </c>
      <c r="B3" s="7"/>
      <c r="C3" s="7"/>
      <c r="D3" s="8"/>
      <c r="E3" s="8"/>
      <c r="F3" s="8"/>
      <c r="G3" s="31"/>
      <c r="H3" s="8"/>
    </row>
    <row r="4" spans="1:8" ht="15.75">
      <c r="A4" s="8"/>
      <c r="B4" s="8"/>
      <c r="C4" s="8"/>
      <c r="D4" s="8"/>
      <c r="E4" s="8"/>
      <c r="F4" s="8"/>
      <c r="G4" s="31"/>
      <c r="H4" s="8"/>
    </row>
    <row r="5" spans="1:8" ht="43.5">
      <c r="A5" s="32"/>
      <c r="B5" s="33" t="s">
        <v>25</v>
      </c>
      <c r="C5" s="33" t="s">
        <v>26</v>
      </c>
      <c r="D5" s="33" t="s">
        <v>27</v>
      </c>
      <c r="E5" s="33" t="s">
        <v>28</v>
      </c>
      <c r="F5" s="33" t="s">
        <v>29</v>
      </c>
      <c r="G5" s="31"/>
      <c r="H5" s="8"/>
    </row>
    <row r="6" spans="1:8" ht="15.75">
      <c r="A6" s="8"/>
      <c r="B6" s="10"/>
      <c r="C6" s="8"/>
      <c r="D6" s="8"/>
      <c r="E6" s="10"/>
      <c r="F6" s="10"/>
      <c r="G6" s="31"/>
      <c r="H6" s="8"/>
    </row>
    <row r="7" spans="1:8" ht="17.25">
      <c r="A7" s="11" t="s">
        <v>43</v>
      </c>
      <c r="B7" s="30">
        <v>2302</v>
      </c>
      <c r="C7" s="30">
        <v>1865</v>
      </c>
      <c r="D7" s="30">
        <v>2412</v>
      </c>
      <c r="E7" s="30">
        <v>2517</v>
      </c>
      <c r="F7" s="30">
        <v>2302</v>
      </c>
      <c r="G7" s="31"/>
      <c r="H7" s="30"/>
    </row>
    <row r="8" spans="1:8" ht="15.75">
      <c r="A8" s="8"/>
      <c r="B8" s="48"/>
      <c r="C8" s="48"/>
      <c r="D8" s="48"/>
      <c r="E8" s="48"/>
      <c r="F8" s="48"/>
      <c r="G8" s="31"/>
      <c r="H8" s="8"/>
    </row>
    <row r="9" spans="1:8" ht="15.75">
      <c r="A9" s="11" t="s">
        <v>1</v>
      </c>
      <c r="B9" s="48" t="s">
        <v>2</v>
      </c>
      <c r="C9" s="48" t="s">
        <v>2</v>
      </c>
      <c r="D9" s="48" t="s">
        <v>2</v>
      </c>
      <c r="E9" s="48" t="s">
        <v>2</v>
      </c>
      <c r="F9" s="48" t="s">
        <v>2</v>
      </c>
      <c r="G9" s="31"/>
      <c r="H9" s="8"/>
    </row>
    <row r="10" spans="1:8" ht="17.25">
      <c r="A10" s="20" t="s">
        <v>44</v>
      </c>
      <c r="B10" s="14">
        <v>5097</v>
      </c>
      <c r="C10" s="14">
        <v>4454</v>
      </c>
      <c r="D10" s="14">
        <v>2805</v>
      </c>
      <c r="E10" s="14">
        <v>6425</v>
      </c>
      <c r="F10" s="14">
        <f>SUM(B10:E10)</f>
        <v>18781</v>
      </c>
      <c r="G10" s="50"/>
      <c r="H10" s="30"/>
    </row>
    <row r="11" spans="1:8" ht="15.75">
      <c r="A11" s="20" t="s">
        <v>3</v>
      </c>
      <c r="B11" s="37">
        <v>2231</v>
      </c>
      <c r="C11" s="37">
        <v>2207</v>
      </c>
      <c r="D11" s="37">
        <v>2194</v>
      </c>
      <c r="E11" s="37">
        <v>2099</v>
      </c>
      <c r="F11" s="14">
        <f aca="true" t="shared" si="0" ref="F11:F16">SUM(B11:E11)</f>
        <v>8731</v>
      </c>
      <c r="G11" s="50"/>
      <c r="H11" s="30"/>
    </row>
    <row r="12" spans="1:8" ht="15.75">
      <c r="A12" s="20" t="s">
        <v>4</v>
      </c>
      <c r="B12" s="37">
        <v>866</v>
      </c>
      <c r="C12" s="37">
        <v>952</v>
      </c>
      <c r="D12" s="37">
        <v>883</v>
      </c>
      <c r="E12" s="37">
        <v>1368</v>
      </c>
      <c r="F12" s="14">
        <f t="shared" si="0"/>
        <v>4069</v>
      </c>
      <c r="G12" s="50"/>
      <c r="H12" s="30"/>
    </row>
    <row r="13" spans="1:8" ht="15.75">
      <c r="A13" s="20" t="s">
        <v>5</v>
      </c>
      <c r="B13" s="37">
        <v>197</v>
      </c>
      <c r="C13" s="37">
        <v>169</v>
      </c>
      <c r="D13" s="37">
        <v>181</v>
      </c>
      <c r="E13" s="37">
        <v>379</v>
      </c>
      <c r="F13" s="14">
        <f t="shared" si="0"/>
        <v>926</v>
      </c>
      <c r="G13" s="50"/>
      <c r="H13" s="30"/>
    </row>
    <row r="14" spans="1:8" ht="15.75">
      <c r="A14" s="20" t="s">
        <v>6</v>
      </c>
      <c r="B14" s="37">
        <v>454</v>
      </c>
      <c r="C14" s="37">
        <v>510</v>
      </c>
      <c r="D14" s="37">
        <v>715</v>
      </c>
      <c r="E14" s="37">
        <v>538</v>
      </c>
      <c r="F14" s="14">
        <f t="shared" si="0"/>
        <v>2217</v>
      </c>
      <c r="G14" s="50"/>
      <c r="H14" s="30"/>
    </row>
    <row r="15" spans="1:8" ht="15.75">
      <c r="A15" s="20" t="s">
        <v>19</v>
      </c>
      <c r="B15" s="37">
        <v>3</v>
      </c>
      <c r="C15" s="44">
        <v>3</v>
      </c>
      <c r="D15" s="37">
        <v>2</v>
      </c>
      <c r="E15" s="44">
        <v>1</v>
      </c>
      <c r="F15" s="14">
        <f t="shared" si="0"/>
        <v>9</v>
      </c>
      <c r="G15" s="50"/>
      <c r="H15" s="30"/>
    </row>
    <row r="16" spans="1:8" ht="15.75">
      <c r="A16" s="20" t="s">
        <v>7</v>
      </c>
      <c r="B16" s="37">
        <v>2054</v>
      </c>
      <c r="C16" s="37">
        <v>2716</v>
      </c>
      <c r="D16" s="37">
        <v>1649</v>
      </c>
      <c r="E16" s="37">
        <v>2712</v>
      </c>
      <c r="F16" s="14">
        <f t="shared" si="0"/>
        <v>9131</v>
      </c>
      <c r="G16" s="50"/>
      <c r="H16" s="30"/>
    </row>
    <row r="17" spans="1:8" ht="15.75">
      <c r="A17" s="27"/>
      <c r="B17" s="30"/>
      <c r="C17" s="30"/>
      <c r="D17" s="30"/>
      <c r="E17" s="30"/>
      <c r="F17" s="30"/>
      <c r="G17" s="50"/>
      <c r="H17" s="8"/>
    </row>
    <row r="18" spans="1:8" ht="15.75">
      <c r="A18" s="20" t="s">
        <v>8</v>
      </c>
      <c r="B18" s="30">
        <v>10902</v>
      </c>
      <c r="C18" s="30">
        <v>11011</v>
      </c>
      <c r="D18" s="30">
        <v>8429</v>
      </c>
      <c r="E18" s="30">
        <v>13521</v>
      </c>
      <c r="F18" s="30">
        <v>43863</v>
      </c>
      <c r="G18" s="50"/>
      <c r="H18" s="8"/>
    </row>
    <row r="19" spans="1:8" ht="15.75">
      <c r="A19" s="27"/>
      <c r="B19" s="37"/>
      <c r="C19" s="37"/>
      <c r="D19" s="37"/>
      <c r="E19" s="37"/>
      <c r="F19" s="37"/>
      <c r="G19" s="50"/>
      <c r="H19" s="8"/>
    </row>
    <row r="20" spans="1:8" ht="15.75">
      <c r="A20" s="20" t="s">
        <v>9</v>
      </c>
      <c r="B20" s="37"/>
      <c r="C20" s="37"/>
      <c r="D20" s="37"/>
      <c r="E20" s="37"/>
      <c r="F20" s="37"/>
      <c r="G20" s="50"/>
      <c r="H20" s="8"/>
    </row>
    <row r="21" spans="1:8" ht="15.75">
      <c r="A21" s="20" t="s">
        <v>10</v>
      </c>
      <c r="B21" s="37">
        <v>7515</v>
      </c>
      <c r="C21" s="37">
        <v>6182</v>
      </c>
      <c r="D21" s="37">
        <v>5016</v>
      </c>
      <c r="E21" s="37">
        <v>10780</v>
      </c>
      <c r="F21" s="14">
        <f>SUM(B21:E21)</f>
        <v>29493</v>
      </c>
      <c r="G21" s="50"/>
      <c r="H21" s="30"/>
    </row>
    <row r="22" spans="1:8" ht="15.75">
      <c r="A22" s="20" t="s">
        <v>11</v>
      </c>
      <c r="B22" s="37">
        <v>2334</v>
      </c>
      <c r="C22" s="37">
        <v>2151</v>
      </c>
      <c r="D22" s="37">
        <v>1786</v>
      </c>
      <c r="E22" s="37">
        <v>1294</v>
      </c>
      <c r="F22" s="14">
        <f>SUM(B22:E22)</f>
        <v>7565</v>
      </c>
      <c r="G22" s="50"/>
      <c r="H22" s="30"/>
    </row>
    <row r="23" spans="1:8" ht="15.75">
      <c r="A23" s="20" t="s">
        <v>12</v>
      </c>
      <c r="B23" s="37">
        <v>816</v>
      </c>
      <c r="C23" s="37">
        <v>1484</v>
      </c>
      <c r="D23" s="37">
        <v>649</v>
      </c>
      <c r="E23" s="37">
        <v>704</v>
      </c>
      <c r="F23" s="14">
        <f>SUM(B23:E23)</f>
        <v>3653</v>
      </c>
      <c r="G23" s="50"/>
      <c r="H23" s="30"/>
    </row>
    <row r="24" spans="1:8" ht="15.75">
      <c r="A24" s="20" t="s">
        <v>42</v>
      </c>
      <c r="B24" s="44">
        <v>0</v>
      </c>
      <c r="C24" s="44">
        <v>0</v>
      </c>
      <c r="D24" s="44">
        <v>0</v>
      </c>
      <c r="E24" s="44">
        <v>0</v>
      </c>
      <c r="F24" s="44">
        <v>0</v>
      </c>
      <c r="G24" s="50"/>
      <c r="H24" s="30"/>
    </row>
    <row r="25" spans="1:8" ht="15.75">
      <c r="A25" s="20" t="s">
        <v>13</v>
      </c>
      <c r="B25" s="37">
        <v>674</v>
      </c>
      <c r="C25" s="37">
        <v>647</v>
      </c>
      <c r="D25" s="37">
        <v>873</v>
      </c>
      <c r="E25" s="37">
        <v>714</v>
      </c>
      <c r="F25" s="14">
        <f>SUM(B25:E25)</f>
        <v>2908</v>
      </c>
      <c r="G25" s="50"/>
      <c r="H25" s="30"/>
    </row>
    <row r="26" spans="1:8" ht="15.75">
      <c r="A26" s="27"/>
      <c r="B26" s="10"/>
      <c r="C26" s="27"/>
      <c r="D26" s="27"/>
      <c r="E26" s="27"/>
      <c r="F26" s="27"/>
      <c r="G26" s="50"/>
      <c r="H26" s="8"/>
    </row>
    <row r="27" spans="1:8" ht="15.75">
      <c r="A27" s="20" t="s">
        <v>14</v>
      </c>
      <c r="B27" s="30">
        <v>11339</v>
      </c>
      <c r="C27" s="30">
        <v>10464</v>
      </c>
      <c r="D27" s="30">
        <v>8324</v>
      </c>
      <c r="E27" s="30">
        <v>13492</v>
      </c>
      <c r="F27" s="30">
        <v>43619</v>
      </c>
      <c r="G27" s="50"/>
      <c r="H27" s="8"/>
    </row>
    <row r="28" spans="1:8" ht="15.75">
      <c r="A28" s="27"/>
      <c r="B28" s="30"/>
      <c r="C28" s="30"/>
      <c r="D28" s="30"/>
      <c r="E28" s="30"/>
      <c r="F28" s="30"/>
      <c r="G28" s="50"/>
      <c r="H28" s="8"/>
    </row>
    <row r="29" spans="1:8" ht="15.75">
      <c r="A29" s="11" t="s">
        <v>22</v>
      </c>
      <c r="B29" s="30">
        <f>(B18-B27)*1</f>
        <v>-437</v>
      </c>
      <c r="C29" s="30">
        <f>(C18-C27)*1</f>
        <v>547</v>
      </c>
      <c r="D29" s="30">
        <f>(D18-D27)*1</f>
        <v>105</v>
      </c>
      <c r="E29" s="30">
        <f>(E18-E27)*1</f>
        <v>29</v>
      </c>
      <c r="F29" s="30">
        <f>(SUM(B29:E29))*1</f>
        <v>244</v>
      </c>
      <c r="G29" s="50"/>
      <c r="H29" s="30"/>
    </row>
    <row r="30" spans="1:8" ht="15.75">
      <c r="A30" s="27"/>
      <c r="B30" s="30"/>
      <c r="C30" s="30"/>
      <c r="D30" s="30"/>
      <c r="E30" s="30"/>
      <c r="F30" s="30"/>
      <c r="G30" s="50"/>
      <c r="H30" s="8"/>
    </row>
    <row r="31" spans="1:8" ht="15.75">
      <c r="A31" s="20" t="s">
        <v>15</v>
      </c>
      <c r="B31" s="30">
        <v>1865</v>
      </c>
      <c r="C31" s="30">
        <v>2412</v>
      </c>
      <c r="D31" s="30">
        <v>2517</v>
      </c>
      <c r="E31" s="30">
        <v>2546</v>
      </c>
      <c r="F31" s="30">
        <v>2546</v>
      </c>
      <c r="G31" s="50"/>
      <c r="H31" s="8"/>
    </row>
    <row r="32" spans="1:8" ht="15.75">
      <c r="A32" s="22"/>
      <c r="B32" s="22"/>
      <c r="C32" s="22"/>
      <c r="D32" s="22"/>
      <c r="E32" s="22"/>
      <c r="F32" s="22"/>
      <c r="G32" s="50"/>
      <c r="H32" s="8"/>
    </row>
    <row r="33" spans="1:8" ht="33" customHeight="1">
      <c r="A33" s="52" t="s">
        <v>37</v>
      </c>
      <c r="B33" s="52"/>
      <c r="C33" s="52"/>
      <c r="D33" s="52"/>
      <c r="E33" s="52"/>
      <c r="F33" s="52"/>
      <c r="G33" s="50"/>
      <c r="H33" s="8"/>
    </row>
    <row r="34" spans="1:8" ht="49.5" customHeight="1">
      <c r="A34" s="52" t="s">
        <v>45</v>
      </c>
      <c r="B34" s="52"/>
      <c r="C34" s="52"/>
      <c r="D34" s="52"/>
      <c r="E34" s="52"/>
      <c r="F34" s="52"/>
      <c r="G34" s="50"/>
      <c r="H34" s="8"/>
    </row>
    <row r="35" spans="1:8" ht="15.75">
      <c r="A35" s="51"/>
      <c r="B35" s="51"/>
      <c r="C35" s="51"/>
      <c r="D35" s="51"/>
      <c r="E35" s="51"/>
      <c r="F35" s="51"/>
      <c r="G35" s="50"/>
      <c r="H35" s="8"/>
    </row>
    <row r="36" spans="1:8" ht="15.75">
      <c r="A36" s="20" t="s">
        <v>16</v>
      </c>
      <c r="B36" s="20"/>
      <c r="C36" s="20"/>
      <c r="D36" s="20"/>
      <c r="E36" s="27"/>
      <c r="F36" s="27"/>
      <c r="G36" s="50"/>
      <c r="H36" s="8"/>
    </row>
    <row r="37" spans="1:8" ht="15.75">
      <c r="A37" s="20"/>
      <c r="B37" s="20"/>
      <c r="C37" s="20"/>
      <c r="D37" s="20"/>
      <c r="E37" s="27"/>
      <c r="F37" s="27"/>
      <c r="G37" s="50"/>
      <c r="H37" s="8"/>
    </row>
    <row r="38" spans="1:8" ht="15.75">
      <c r="A38" s="20"/>
      <c r="B38" s="20"/>
      <c r="C38" s="20"/>
      <c r="D38" s="20"/>
      <c r="E38" s="27"/>
      <c r="F38" s="27"/>
      <c r="G38" s="50"/>
      <c r="H38" s="8"/>
    </row>
    <row r="39" spans="1:8" ht="15.75">
      <c r="A39" s="8"/>
      <c r="B39" s="27"/>
      <c r="C39" s="27"/>
      <c r="D39" s="27"/>
      <c r="E39" s="27"/>
      <c r="F39" s="27"/>
      <c r="G39" s="31"/>
      <c r="H39" s="8"/>
    </row>
    <row r="40" spans="1:8" ht="15.75">
      <c r="A40" s="8"/>
      <c r="B40" s="27"/>
      <c r="C40" s="27"/>
      <c r="D40" s="27"/>
      <c r="E40" s="27"/>
      <c r="F40" s="27"/>
      <c r="G40" s="31"/>
      <c r="H40" s="8"/>
    </row>
  </sheetData>
  <sheetProtection/>
  <mergeCells count="2">
    <mergeCell ref="A33:F33"/>
    <mergeCell ref="A34:F34"/>
  </mergeCells>
  <printOptions/>
  <pageMargins left="0.7" right="0.7" top="0.75" bottom="0.75" header="0.3" footer="0.3"/>
  <pageSetup fitToHeight="1" fitToWidth="1" horizontalDpi="600" verticalDpi="600" orientation="landscape" scale="81" r:id="rId1"/>
</worksheet>
</file>

<file path=xl/worksheets/sheet11.xml><?xml version="1.0" encoding="utf-8"?>
<worksheet xmlns="http://schemas.openxmlformats.org/spreadsheetml/2006/main" xmlns:r="http://schemas.openxmlformats.org/officeDocument/2006/relationships">
  <dimension ref="A1:G42"/>
  <sheetViews>
    <sheetView zoomScalePageLayoutView="0" workbookViewId="0" topLeftCell="A1">
      <selection activeCell="F1" sqref="F1"/>
    </sheetView>
  </sheetViews>
  <sheetFormatPr defaultColWidth="8.88671875" defaultRowHeight="15.75"/>
  <cols>
    <col min="1" max="1" width="39.77734375" style="0" customWidth="1"/>
    <col min="2" max="16384" width="13.77734375" style="0" customWidth="1"/>
  </cols>
  <sheetData>
    <row r="1" spans="1:7" ht="23.25">
      <c r="A1" s="28" t="s">
        <v>24</v>
      </c>
      <c r="B1" s="7"/>
      <c r="C1" s="7"/>
      <c r="D1" s="7"/>
      <c r="E1" s="8"/>
      <c r="G1" s="31"/>
    </row>
    <row r="2" spans="1:7" ht="20.25">
      <c r="A2" s="29" t="s">
        <v>46</v>
      </c>
      <c r="B2" s="7"/>
      <c r="C2" s="7"/>
      <c r="D2" s="8"/>
      <c r="E2" s="8"/>
      <c r="F2" s="8"/>
      <c r="G2" s="31"/>
    </row>
    <row r="3" spans="1:7" ht="20.25">
      <c r="A3" s="28" t="s">
        <v>0</v>
      </c>
      <c r="B3" s="7"/>
      <c r="C3" s="7"/>
      <c r="D3" s="8"/>
      <c r="E3" s="8"/>
      <c r="F3" s="8"/>
      <c r="G3" s="31"/>
    </row>
    <row r="4" spans="1:7" ht="15.75">
      <c r="A4" s="8"/>
      <c r="B4" s="8"/>
      <c r="C4" s="8"/>
      <c r="D4" s="8"/>
      <c r="E4" s="8"/>
      <c r="F4" s="8"/>
      <c r="G4" s="31"/>
    </row>
    <row r="5" spans="1:7" ht="43.5">
      <c r="A5" s="32"/>
      <c r="B5" s="33" t="s">
        <v>25</v>
      </c>
      <c r="C5" s="33" t="s">
        <v>26</v>
      </c>
      <c r="D5" s="33" t="s">
        <v>27</v>
      </c>
      <c r="E5" s="33" t="s">
        <v>28</v>
      </c>
      <c r="F5" s="33" t="s">
        <v>29</v>
      </c>
      <c r="G5" s="31"/>
    </row>
    <row r="6" spans="1:7" ht="15.75">
      <c r="A6" s="8"/>
      <c r="B6" s="10"/>
      <c r="C6" s="8"/>
      <c r="D6" s="8"/>
      <c r="E6" s="10"/>
      <c r="F6" s="10"/>
      <c r="G6" s="31"/>
    </row>
    <row r="7" spans="1:7" ht="15.75">
      <c r="A7" s="11" t="s">
        <v>18</v>
      </c>
      <c r="B7" s="30">
        <v>815</v>
      </c>
      <c r="C7" s="30">
        <v>1989</v>
      </c>
      <c r="D7" s="30">
        <v>2559</v>
      </c>
      <c r="E7" s="30">
        <v>2947</v>
      </c>
      <c r="F7" s="30">
        <v>815</v>
      </c>
      <c r="G7" s="31"/>
    </row>
    <row r="8" spans="1:7" ht="15.75">
      <c r="A8" s="8"/>
      <c r="B8" s="18"/>
      <c r="C8" s="18"/>
      <c r="D8" s="18"/>
      <c r="E8" s="18"/>
      <c r="F8" s="18"/>
      <c r="G8" s="31"/>
    </row>
    <row r="9" spans="1:7" ht="15.75">
      <c r="A9" s="11" t="s">
        <v>1</v>
      </c>
      <c r="B9" s="18" t="s">
        <v>2</v>
      </c>
      <c r="C9" s="18" t="s">
        <v>2</v>
      </c>
      <c r="D9" s="18" t="s">
        <v>2</v>
      </c>
      <c r="E9" s="18" t="s">
        <v>2</v>
      </c>
      <c r="F9" s="18" t="s">
        <v>2</v>
      </c>
      <c r="G9" s="31"/>
    </row>
    <row r="10" spans="1:7" ht="15.75">
      <c r="A10" s="11" t="s">
        <v>17</v>
      </c>
      <c r="B10" s="14">
        <v>4600</v>
      </c>
      <c r="C10" s="14">
        <v>4131</v>
      </c>
      <c r="D10" s="14">
        <v>2550</v>
      </c>
      <c r="E10" s="14">
        <v>4493</v>
      </c>
      <c r="F10" s="14">
        <f>SUM(B10:E10)</f>
        <v>15774</v>
      </c>
      <c r="G10" s="31"/>
    </row>
    <row r="11" spans="1:7" ht="15.75">
      <c r="A11" s="11" t="s">
        <v>3</v>
      </c>
      <c r="B11" s="37">
        <v>1820</v>
      </c>
      <c r="C11" s="37">
        <v>2107</v>
      </c>
      <c r="D11" s="37">
        <v>2057</v>
      </c>
      <c r="E11" s="37">
        <v>1995</v>
      </c>
      <c r="F11" s="14">
        <f aca="true" t="shared" si="0" ref="F11:F17">SUM(B11:E11)</f>
        <v>7979</v>
      </c>
      <c r="G11" s="31"/>
    </row>
    <row r="12" spans="1:7" ht="15.75">
      <c r="A12" s="11" t="s">
        <v>4</v>
      </c>
      <c r="B12" s="37">
        <v>651</v>
      </c>
      <c r="C12" s="37">
        <v>887</v>
      </c>
      <c r="D12" s="37">
        <v>758</v>
      </c>
      <c r="E12" s="37">
        <v>1117</v>
      </c>
      <c r="F12" s="14">
        <f t="shared" si="0"/>
        <v>3413</v>
      </c>
      <c r="G12" s="31"/>
    </row>
    <row r="13" spans="1:7" ht="15.75">
      <c r="A13" s="11" t="s">
        <v>5</v>
      </c>
      <c r="B13" s="37">
        <v>175</v>
      </c>
      <c r="C13" s="37">
        <v>223</v>
      </c>
      <c r="D13" s="37">
        <v>224</v>
      </c>
      <c r="E13" s="37">
        <v>146</v>
      </c>
      <c r="F13" s="14">
        <f t="shared" si="0"/>
        <v>768</v>
      </c>
      <c r="G13" s="31"/>
    </row>
    <row r="14" spans="1:7" ht="15.75">
      <c r="A14" s="53" t="s">
        <v>47</v>
      </c>
      <c r="B14" s="37">
        <v>2202</v>
      </c>
      <c r="C14" s="44">
        <v>0</v>
      </c>
      <c r="D14" s="37">
        <v>1998</v>
      </c>
      <c r="E14" s="44">
        <v>0</v>
      </c>
      <c r="F14" s="14">
        <f t="shared" si="0"/>
        <v>4200</v>
      </c>
      <c r="G14" s="31"/>
    </row>
    <row r="15" spans="1:7" ht="15.75">
      <c r="A15" s="11" t="s">
        <v>6</v>
      </c>
      <c r="B15" s="37">
        <v>241</v>
      </c>
      <c r="C15" s="37">
        <v>362</v>
      </c>
      <c r="D15" s="37">
        <v>596</v>
      </c>
      <c r="E15" s="37">
        <v>527</v>
      </c>
      <c r="F15" s="14">
        <f t="shared" si="0"/>
        <v>1726</v>
      </c>
      <c r="G15" s="31"/>
    </row>
    <row r="16" spans="1:7" ht="15.75">
      <c r="A16" s="11" t="s">
        <v>19</v>
      </c>
      <c r="B16" s="37">
        <v>323</v>
      </c>
      <c r="C16" s="44">
        <v>0</v>
      </c>
      <c r="D16" s="37">
        <v>322</v>
      </c>
      <c r="E16" s="44">
        <v>0</v>
      </c>
      <c r="F16" s="14">
        <f t="shared" si="0"/>
        <v>645</v>
      </c>
      <c r="G16" s="31"/>
    </row>
    <row r="17" spans="1:7" ht="15.75">
      <c r="A17" s="11" t="s">
        <v>7</v>
      </c>
      <c r="B17" s="37">
        <v>1965</v>
      </c>
      <c r="C17" s="37">
        <v>1962</v>
      </c>
      <c r="D17" s="37">
        <v>1455</v>
      </c>
      <c r="E17" s="37">
        <v>2440</v>
      </c>
      <c r="F17" s="14">
        <f t="shared" si="0"/>
        <v>7822</v>
      </c>
      <c r="G17" s="31"/>
    </row>
    <row r="18" spans="1:7" ht="15.75">
      <c r="A18" s="8"/>
      <c r="B18" s="30"/>
      <c r="C18" s="30"/>
      <c r="D18" s="30"/>
      <c r="E18" s="30"/>
      <c r="F18" s="30"/>
      <c r="G18" s="31"/>
    </row>
    <row r="19" spans="1:7" ht="15.75">
      <c r="A19" s="11" t="s">
        <v>8</v>
      </c>
      <c r="B19" s="30">
        <v>11977</v>
      </c>
      <c r="C19" s="30">
        <v>9672</v>
      </c>
      <c r="D19" s="30">
        <v>9960</v>
      </c>
      <c r="E19" s="30">
        <v>10718</v>
      </c>
      <c r="F19" s="30">
        <v>42327</v>
      </c>
      <c r="G19" s="31"/>
    </row>
    <row r="20" spans="1:7" ht="15.75">
      <c r="A20" s="8"/>
      <c r="B20" s="37"/>
      <c r="C20" s="37"/>
      <c r="D20" s="37"/>
      <c r="E20" s="37"/>
      <c r="F20" s="37"/>
      <c r="G20" s="31"/>
    </row>
    <row r="21" spans="1:7" ht="15.75">
      <c r="A21" s="11" t="s">
        <v>9</v>
      </c>
      <c r="B21" s="37"/>
      <c r="C21" s="37"/>
      <c r="D21" s="37"/>
      <c r="E21" s="37"/>
      <c r="F21" s="37"/>
      <c r="G21" s="31"/>
    </row>
    <row r="22" spans="1:7" ht="15.75">
      <c r="A22" s="11" t="s">
        <v>10</v>
      </c>
      <c r="B22" s="37">
        <v>7492</v>
      </c>
      <c r="C22" s="37">
        <v>5260</v>
      </c>
      <c r="D22" s="37">
        <v>6430</v>
      </c>
      <c r="E22" s="37">
        <v>10064</v>
      </c>
      <c r="F22" s="14">
        <f>SUM(B22:E22)</f>
        <v>29246</v>
      </c>
      <c r="G22" s="31"/>
    </row>
    <row r="23" spans="1:7" ht="15.75">
      <c r="A23" s="11" t="s">
        <v>11</v>
      </c>
      <c r="B23" s="37">
        <v>2190</v>
      </c>
      <c r="C23" s="37">
        <v>2085</v>
      </c>
      <c r="D23" s="37">
        <v>1802</v>
      </c>
      <c r="E23" s="37">
        <v>1016</v>
      </c>
      <c r="F23" s="14">
        <f>SUM(B23:E23)</f>
        <v>7093</v>
      </c>
      <c r="G23" s="31"/>
    </row>
    <row r="24" spans="1:7" ht="15.75">
      <c r="A24" s="11" t="s">
        <v>12</v>
      </c>
      <c r="B24" s="37">
        <v>546</v>
      </c>
      <c r="C24" s="37">
        <v>1241</v>
      </c>
      <c r="D24" s="37">
        <v>728</v>
      </c>
      <c r="E24" s="37">
        <v>732</v>
      </c>
      <c r="F24" s="14">
        <f>SUM(B24:E24)</f>
        <v>3247</v>
      </c>
      <c r="G24" s="31"/>
    </row>
    <row r="25" spans="1:7" ht="15.75">
      <c r="A25" s="11" t="s">
        <v>42</v>
      </c>
      <c r="B25" s="44">
        <v>0</v>
      </c>
      <c r="C25" s="44">
        <v>0</v>
      </c>
      <c r="D25" s="44">
        <v>0</v>
      </c>
      <c r="E25" s="44">
        <v>0</v>
      </c>
      <c r="F25" s="44">
        <v>0</v>
      </c>
      <c r="G25" s="31"/>
    </row>
    <row r="26" spans="1:7" ht="15.75">
      <c r="A26" s="11" t="s">
        <v>13</v>
      </c>
      <c r="B26" s="37">
        <v>575</v>
      </c>
      <c r="C26" s="37">
        <v>516</v>
      </c>
      <c r="D26" s="37">
        <v>612</v>
      </c>
      <c r="E26" s="37">
        <v>776</v>
      </c>
      <c r="F26" s="14">
        <f>SUM(B26:E26)</f>
        <v>2479</v>
      </c>
      <c r="G26" s="31"/>
    </row>
    <row r="27" spans="1:7" ht="15.75">
      <c r="A27" s="8"/>
      <c r="B27" s="10"/>
      <c r="C27" s="27"/>
      <c r="D27" s="27"/>
      <c r="E27" s="27"/>
      <c r="F27" s="8"/>
      <c r="G27" s="31"/>
    </row>
    <row r="28" spans="1:7" ht="15.75">
      <c r="A28" s="11" t="s">
        <v>14</v>
      </c>
      <c r="B28" s="30">
        <v>10803</v>
      </c>
      <c r="C28" s="30">
        <v>9102</v>
      </c>
      <c r="D28" s="30">
        <v>9572</v>
      </c>
      <c r="E28" s="30">
        <v>12588</v>
      </c>
      <c r="F28" s="30">
        <v>42065</v>
      </c>
      <c r="G28" s="31"/>
    </row>
    <row r="29" spans="1:7" ht="15.75">
      <c r="A29" s="8"/>
      <c r="B29" s="30"/>
      <c r="C29" s="30"/>
      <c r="D29" s="30"/>
      <c r="E29" s="30"/>
      <c r="F29" s="30"/>
      <c r="G29" s="31"/>
    </row>
    <row r="30" spans="1:7" ht="15.75">
      <c r="A30" s="11" t="s">
        <v>22</v>
      </c>
      <c r="B30" s="30">
        <v>1174</v>
      </c>
      <c r="C30" s="30">
        <v>570</v>
      </c>
      <c r="D30" s="30">
        <v>388</v>
      </c>
      <c r="E30" s="30">
        <v>-1870</v>
      </c>
      <c r="F30" s="30">
        <f>(SUM(B30:E30))*1</f>
        <v>262</v>
      </c>
      <c r="G30" s="31"/>
    </row>
    <row r="31" spans="1:7" ht="15.75">
      <c r="A31" s="8"/>
      <c r="B31" s="30"/>
      <c r="C31" s="30"/>
      <c r="D31" s="30"/>
      <c r="E31" s="30"/>
      <c r="F31" s="30"/>
      <c r="G31" s="31"/>
    </row>
    <row r="32" spans="1:7" ht="15.75">
      <c r="A32" s="11" t="s">
        <v>15</v>
      </c>
      <c r="B32" s="30">
        <v>1989</v>
      </c>
      <c r="C32" s="30">
        <v>2559</v>
      </c>
      <c r="D32" s="30">
        <v>2947</v>
      </c>
      <c r="E32" s="30">
        <v>1077</v>
      </c>
      <c r="F32" s="30">
        <v>1077</v>
      </c>
      <c r="G32" s="31"/>
    </row>
    <row r="33" spans="1:7" ht="15.75">
      <c r="A33" s="9"/>
      <c r="B33" s="22"/>
      <c r="C33" s="22"/>
      <c r="D33" s="22"/>
      <c r="E33" s="22"/>
      <c r="F33" s="22"/>
      <c r="G33" s="31"/>
    </row>
    <row r="34" spans="1:7" ht="15.75">
      <c r="A34" s="23" t="s">
        <v>51</v>
      </c>
      <c r="B34" s="24"/>
      <c r="C34" s="24"/>
      <c r="D34" s="24"/>
      <c r="E34" s="24"/>
      <c r="F34" s="24"/>
      <c r="G34" s="31"/>
    </row>
    <row r="35" spans="1:7" ht="15.75">
      <c r="A35" s="23"/>
      <c r="B35" s="24"/>
      <c r="C35" s="24"/>
      <c r="D35" s="24"/>
      <c r="E35" s="24"/>
      <c r="F35" s="24"/>
      <c r="G35" s="31"/>
    </row>
    <row r="36" spans="1:7" ht="15.75">
      <c r="A36" s="7" t="s">
        <v>48</v>
      </c>
      <c r="B36" s="20"/>
      <c r="C36" s="20"/>
      <c r="D36" s="20"/>
      <c r="E36" s="20"/>
      <c r="F36" s="27"/>
      <c r="G36" s="31"/>
    </row>
    <row r="37" spans="1:7" ht="15.75">
      <c r="A37" s="7" t="s">
        <v>49</v>
      </c>
      <c r="B37" s="20"/>
      <c r="C37" s="20"/>
      <c r="D37" s="20"/>
      <c r="E37" s="20"/>
      <c r="F37" s="27"/>
      <c r="G37" s="31"/>
    </row>
    <row r="38" spans="1:7" ht="15.75">
      <c r="A38" s="7" t="s">
        <v>50</v>
      </c>
      <c r="B38" s="20"/>
      <c r="C38" s="20"/>
      <c r="D38" s="20"/>
      <c r="E38" s="20"/>
      <c r="F38" s="27"/>
      <c r="G38" s="31"/>
    </row>
    <row r="39" spans="1:7" ht="15.75">
      <c r="A39" s="7"/>
      <c r="B39" s="20"/>
      <c r="C39" s="20"/>
      <c r="D39" s="20"/>
      <c r="E39" s="20"/>
      <c r="F39" s="27"/>
      <c r="G39" s="31"/>
    </row>
    <row r="40" spans="1:7" ht="15.75">
      <c r="A40" s="7" t="s">
        <v>16</v>
      </c>
      <c r="B40" s="20"/>
      <c r="C40" s="20"/>
      <c r="D40" s="20"/>
      <c r="E40" s="27"/>
      <c r="F40" s="27"/>
      <c r="G40" s="31"/>
    </row>
    <row r="41" spans="1:7" ht="15.75">
      <c r="A41" s="7"/>
      <c r="B41" s="20"/>
      <c r="C41" s="20"/>
      <c r="D41" s="20"/>
      <c r="E41" s="27"/>
      <c r="F41" s="27"/>
      <c r="G41" s="31"/>
    </row>
    <row r="42" spans="1:7" ht="15.75">
      <c r="A42" s="7"/>
      <c r="B42" s="20"/>
      <c r="C42" s="20"/>
      <c r="D42" s="20"/>
      <c r="E42" s="27"/>
      <c r="F42" s="27"/>
      <c r="G42" s="3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F1" sqref="F1"/>
    </sheetView>
  </sheetViews>
  <sheetFormatPr defaultColWidth="8.88671875" defaultRowHeight="15.75"/>
  <cols>
    <col min="1" max="1" width="39.77734375" style="0" customWidth="1"/>
    <col min="2" max="16384" width="13.77734375" style="0" customWidth="1"/>
  </cols>
  <sheetData>
    <row r="1" spans="1:9" ht="23.25">
      <c r="A1" s="28" t="s">
        <v>24</v>
      </c>
      <c r="B1" s="7"/>
      <c r="C1" s="54"/>
      <c r="D1" s="54"/>
      <c r="E1" s="55"/>
      <c r="G1" s="31"/>
      <c r="H1" s="8"/>
      <c r="I1" s="8"/>
    </row>
    <row r="2" spans="1:9" ht="20.25">
      <c r="A2" s="29" t="s">
        <v>52</v>
      </c>
      <c r="B2" s="7"/>
      <c r="C2" s="54"/>
      <c r="D2" s="55"/>
      <c r="E2" s="55"/>
      <c r="F2" s="55"/>
      <c r="G2" s="31"/>
      <c r="H2" s="8"/>
      <c r="I2" s="8"/>
    </row>
    <row r="3" spans="1:9" ht="20.25">
      <c r="A3" s="28" t="s">
        <v>0</v>
      </c>
      <c r="B3" s="7"/>
      <c r="C3" s="54"/>
      <c r="D3" s="55"/>
      <c r="E3" s="55"/>
      <c r="F3" s="55"/>
      <c r="G3" s="31"/>
      <c r="H3" s="8"/>
      <c r="I3" s="8"/>
    </row>
    <row r="4" spans="1:9" ht="15.75">
      <c r="A4" s="8"/>
      <c r="B4" s="8"/>
      <c r="C4" s="55"/>
      <c r="D4" s="55"/>
      <c r="E4" s="55"/>
      <c r="F4" s="55"/>
      <c r="G4" s="31"/>
      <c r="H4" s="8"/>
      <c r="I4" s="8"/>
    </row>
    <row r="5" spans="1:9" ht="43.5">
      <c r="A5" s="32"/>
      <c r="B5" s="33" t="s">
        <v>25</v>
      </c>
      <c r="C5" s="33" t="s">
        <v>26</v>
      </c>
      <c r="D5" s="33" t="s">
        <v>27</v>
      </c>
      <c r="E5" s="33" t="s">
        <v>28</v>
      </c>
      <c r="F5" s="33" t="s">
        <v>29</v>
      </c>
      <c r="G5" s="31"/>
      <c r="H5" s="8"/>
      <c r="I5" s="8"/>
    </row>
    <row r="6" spans="1:9" ht="15.75">
      <c r="A6" s="8"/>
      <c r="B6" s="49"/>
      <c r="C6" s="56"/>
      <c r="D6" s="56"/>
      <c r="E6" s="56"/>
      <c r="F6" s="56"/>
      <c r="G6" s="31"/>
      <c r="H6" s="8"/>
      <c r="I6" s="8"/>
    </row>
    <row r="7" spans="1:9" ht="15.75">
      <c r="A7" s="11" t="s">
        <v>18</v>
      </c>
      <c r="B7" s="30">
        <v>1032</v>
      </c>
      <c r="C7" s="30">
        <v>1737</v>
      </c>
      <c r="D7" s="30">
        <v>1735</v>
      </c>
      <c r="E7" s="30">
        <v>1463</v>
      </c>
      <c r="F7" s="30">
        <v>1032</v>
      </c>
      <c r="G7" s="31"/>
      <c r="H7" s="8"/>
      <c r="I7" s="8"/>
    </row>
    <row r="8" spans="1:9" ht="15.75">
      <c r="A8" s="8"/>
      <c r="B8" s="8"/>
      <c r="C8" s="57"/>
      <c r="D8" s="57"/>
      <c r="E8" s="10"/>
      <c r="F8" s="10"/>
      <c r="G8" s="31"/>
      <c r="H8" s="8"/>
      <c r="I8" s="8"/>
    </row>
    <row r="9" spans="1:9" ht="15.75">
      <c r="A9" s="11" t="s">
        <v>1</v>
      </c>
      <c r="B9" s="18" t="s">
        <v>2</v>
      </c>
      <c r="C9" s="58"/>
      <c r="D9" s="58"/>
      <c r="E9" s="58"/>
      <c r="F9" s="57"/>
      <c r="G9" s="31"/>
      <c r="H9" s="8"/>
      <c r="I9" s="8"/>
    </row>
    <row r="10" spans="1:9" ht="15.75">
      <c r="A10" s="11" t="s">
        <v>17</v>
      </c>
      <c r="B10" s="14">
        <v>6755</v>
      </c>
      <c r="C10" s="44">
        <v>3762</v>
      </c>
      <c r="D10" s="44">
        <v>2148</v>
      </c>
      <c r="E10" s="44">
        <v>4126</v>
      </c>
      <c r="F10" s="35">
        <f aca="true" t="shared" si="0" ref="F10:F15">SUM(B10:E10)</f>
        <v>16791</v>
      </c>
      <c r="G10" s="31"/>
      <c r="H10" s="8"/>
      <c r="I10" s="8"/>
    </row>
    <row r="11" spans="1:9" ht="15.75">
      <c r="A11" s="11" t="s">
        <v>3</v>
      </c>
      <c r="B11" s="37">
        <v>1781</v>
      </c>
      <c r="C11" s="37">
        <v>1816</v>
      </c>
      <c r="D11" s="37">
        <v>1745</v>
      </c>
      <c r="E11" s="44">
        <f>1720</f>
        <v>1720</v>
      </c>
      <c r="F11" s="35">
        <f t="shared" si="0"/>
        <v>7062</v>
      </c>
      <c r="G11" s="31"/>
      <c r="H11" s="8"/>
      <c r="I11" s="8"/>
    </row>
    <row r="12" spans="1:9" ht="15.75">
      <c r="A12" s="11" t="s">
        <v>4</v>
      </c>
      <c r="B12" s="37">
        <v>702</v>
      </c>
      <c r="C12" s="37">
        <v>833</v>
      </c>
      <c r="D12" s="37">
        <v>757</v>
      </c>
      <c r="E12" s="44">
        <v>1088</v>
      </c>
      <c r="F12" s="35">
        <f t="shared" si="0"/>
        <v>3380</v>
      </c>
      <c r="G12" s="31"/>
      <c r="H12" s="8"/>
      <c r="I12" s="8"/>
    </row>
    <row r="13" spans="1:9" ht="15.75">
      <c r="A13" s="11" t="s">
        <v>5</v>
      </c>
      <c r="B13" s="37">
        <v>210</v>
      </c>
      <c r="C13" s="37">
        <v>214</v>
      </c>
      <c r="D13" s="37">
        <v>159</v>
      </c>
      <c r="E13" s="44">
        <v>161</v>
      </c>
      <c r="F13" s="35">
        <f t="shared" si="0"/>
        <v>744</v>
      </c>
      <c r="G13" s="31"/>
      <c r="H13" s="8"/>
      <c r="I13" s="8"/>
    </row>
    <row r="14" spans="1:9" ht="15.75">
      <c r="A14" s="11" t="s">
        <v>6</v>
      </c>
      <c r="B14" s="37">
        <v>517</v>
      </c>
      <c r="C14" s="37">
        <v>338</v>
      </c>
      <c r="D14" s="37">
        <v>735</v>
      </c>
      <c r="E14" s="44">
        <v>502</v>
      </c>
      <c r="F14" s="35">
        <f t="shared" si="0"/>
        <v>2092</v>
      </c>
      <c r="G14" s="31"/>
      <c r="H14" s="8"/>
      <c r="I14" s="8"/>
    </row>
    <row r="15" spans="1:9" ht="15.75">
      <c r="A15" s="11" t="s">
        <v>7</v>
      </c>
      <c r="B15" s="37">
        <f>1468</f>
        <v>1468</v>
      </c>
      <c r="C15" s="37">
        <v>1813</v>
      </c>
      <c r="D15" s="37">
        <v>1562</v>
      </c>
      <c r="E15" s="44">
        <f>2484+1</f>
        <v>2485</v>
      </c>
      <c r="F15" s="35">
        <f t="shared" si="0"/>
        <v>7328</v>
      </c>
      <c r="G15" s="31"/>
      <c r="H15" s="8"/>
      <c r="I15" s="8"/>
    </row>
    <row r="16" spans="1:9" ht="15.75">
      <c r="A16" s="8"/>
      <c r="B16" s="37"/>
      <c r="C16" s="37"/>
      <c r="D16" s="37"/>
      <c r="E16" s="37"/>
      <c r="F16" s="37"/>
      <c r="G16" s="31"/>
      <c r="H16" s="8"/>
      <c r="I16" s="8"/>
    </row>
    <row r="17" spans="1:9" ht="15.75">
      <c r="A17" s="11" t="s">
        <v>8</v>
      </c>
      <c r="B17" s="30">
        <v>11433</v>
      </c>
      <c r="C17" s="30">
        <v>8776</v>
      </c>
      <c r="D17" s="30">
        <v>7106</v>
      </c>
      <c r="E17" s="30">
        <v>10082</v>
      </c>
      <c r="F17" s="30">
        <v>37397</v>
      </c>
      <c r="G17" s="31"/>
      <c r="H17" s="8"/>
      <c r="I17" s="8"/>
    </row>
    <row r="18" spans="1:9" ht="15.75">
      <c r="A18" s="55"/>
      <c r="B18" s="66"/>
      <c r="C18" s="66"/>
      <c r="D18" s="66"/>
      <c r="E18" s="66"/>
      <c r="F18" s="66"/>
      <c r="G18" s="59"/>
      <c r="H18" s="60"/>
      <c r="I18" s="55"/>
    </row>
    <row r="19" spans="1:9" ht="15.75">
      <c r="A19" s="11" t="s">
        <v>9</v>
      </c>
      <c r="B19" s="37"/>
      <c r="C19" s="37"/>
      <c r="D19" s="37"/>
      <c r="E19" s="37"/>
      <c r="F19" s="66"/>
      <c r="G19" s="31"/>
      <c r="H19" s="8"/>
      <c r="I19" s="27"/>
    </row>
    <row r="20" spans="1:9" ht="15.75">
      <c r="A20" s="11" t="s">
        <v>10</v>
      </c>
      <c r="B20" s="37">
        <v>6949</v>
      </c>
      <c r="C20" s="37">
        <v>4662</v>
      </c>
      <c r="D20" s="37">
        <v>4578</v>
      </c>
      <c r="E20" s="44">
        <v>8698</v>
      </c>
      <c r="F20" s="35">
        <f>SUM(B20:E20)</f>
        <v>24887</v>
      </c>
      <c r="G20" s="31"/>
      <c r="H20" s="8"/>
      <c r="I20" s="27"/>
    </row>
    <row r="21" spans="1:9" ht="15.75">
      <c r="A21" s="11" t="s">
        <v>11</v>
      </c>
      <c r="B21" s="37">
        <v>2234</v>
      </c>
      <c r="C21" s="37">
        <v>2432</v>
      </c>
      <c r="D21" s="37">
        <f>1881-1</f>
        <v>1880</v>
      </c>
      <c r="E21" s="44">
        <f>1131+1</f>
        <v>1132</v>
      </c>
      <c r="F21" s="35">
        <f>SUM(B21:E21)</f>
        <v>7678</v>
      </c>
      <c r="G21" s="31"/>
      <c r="H21" s="8"/>
      <c r="I21" s="27"/>
    </row>
    <row r="22" spans="1:9" ht="15.75">
      <c r="A22" s="11" t="s">
        <v>12</v>
      </c>
      <c r="B22" s="37">
        <v>690</v>
      </c>
      <c r="C22" s="37">
        <v>901</v>
      </c>
      <c r="D22" s="37">
        <v>514</v>
      </c>
      <c r="E22" s="44">
        <v>594</v>
      </c>
      <c r="F22" s="35">
        <f>SUM(B22:E22)</f>
        <v>2699</v>
      </c>
      <c r="G22" s="31"/>
      <c r="H22" s="8"/>
      <c r="I22" s="8"/>
    </row>
    <row r="23" spans="1:9" ht="15.75">
      <c r="A23" s="11" t="s">
        <v>42</v>
      </c>
      <c r="B23" s="44">
        <v>0</v>
      </c>
      <c r="C23" s="44">
        <v>0</v>
      </c>
      <c r="D23" s="44">
        <v>0</v>
      </c>
      <c r="E23" s="44">
        <v>0</v>
      </c>
      <c r="F23" s="44">
        <v>0</v>
      </c>
      <c r="G23" s="31"/>
      <c r="H23" s="8"/>
      <c r="I23" s="27"/>
    </row>
    <row r="24" spans="1:9" ht="15.75">
      <c r="A24" s="11" t="s">
        <v>13</v>
      </c>
      <c r="B24" s="37">
        <f>854+1</f>
        <v>855</v>
      </c>
      <c r="C24" s="37">
        <v>783</v>
      </c>
      <c r="D24" s="37">
        <v>406</v>
      </c>
      <c r="E24" s="44">
        <f>305+1</f>
        <v>306</v>
      </c>
      <c r="F24" s="35">
        <f>SUM(B24:E24)</f>
        <v>2350</v>
      </c>
      <c r="G24" s="31"/>
      <c r="H24" s="8"/>
      <c r="I24" s="27"/>
    </row>
    <row r="25" spans="1:9" ht="15.75">
      <c r="A25" s="8"/>
      <c r="B25" s="30"/>
      <c r="C25" s="30"/>
      <c r="D25" s="30"/>
      <c r="E25" s="30"/>
      <c r="F25" s="30"/>
      <c r="G25" s="31"/>
      <c r="H25" s="8"/>
      <c r="I25" s="8"/>
    </row>
    <row r="26" spans="1:9" ht="15.75">
      <c r="A26" s="11" t="s">
        <v>14</v>
      </c>
      <c r="B26" s="30">
        <v>10728</v>
      </c>
      <c r="C26" s="30">
        <v>8778</v>
      </c>
      <c r="D26" s="30">
        <v>7378</v>
      </c>
      <c r="E26" s="30">
        <v>10730</v>
      </c>
      <c r="F26" s="30">
        <v>37614</v>
      </c>
      <c r="G26" s="31"/>
      <c r="H26" s="62"/>
      <c r="I26" s="8"/>
    </row>
    <row r="27" spans="1:9" ht="15.75">
      <c r="A27" s="55"/>
      <c r="B27" s="30"/>
      <c r="C27" s="30"/>
      <c r="D27" s="30"/>
      <c r="E27" s="30"/>
      <c r="F27" s="30"/>
      <c r="G27" s="59"/>
      <c r="H27" s="55"/>
      <c r="I27" s="55"/>
    </row>
    <row r="28" spans="1:9" ht="15.75">
      <c r="A28" s="11" t="s">
        <v>22</v>
      </c>
      <c r="B28" s="30">
        <f>(+B17-B26)*1</f>
        <v>705</v>
      </c>
      <c r="C28" s="30">
        <f>(+C17-C26)*1</f>
        <v>-2</v>
      </c>
      <c r="D28" s="30">
        <f>(+D17-D26)*1</f>
        <v>-272</v>
      </c>
      <c r="E28" s="30">
        <f>(+E17-E26)*1</f>
        <v>-648</v>
      </c>
      <c r="F28" s="30">
        <f>(+F17-F26)*1</f>
        <v>-217</v>
      </c>
      <c r="G28" s="31"/>
      <c r="H28" s="8"/>
      <c r="I28" s="8"/>
    </row>
    <row r="29" spans="1:9" ht="15.75">
      <c r="A29" s="8"/>
      <c r="B29" s="30"/>
      <c r="C29" s="30"/>
      <c r="D29" s="30"/>
      <c r="E29" s="30"/>
      <c r="F29" s="30"/>
      <c r="G29" s="31"/>
      <c r="H29" s="8"/>
      <c r="I29" s="8"/>
    </row>
    <row r="30" spans="1:9" ht="15.75">
      <c r="A30" s="11" t="s">
        <v>15</v>
      </c>
      <c r="B30" s="30">
        <v>1737</v>
      </c>
      <c r="C30" s="30">
        <v>1735</v>
      </c>
      <c r="D30" s="30">
        <v>1463</v>
      </c>
      <c r="E30" s="30">
        <v>815</v>
      </c>
      <c r="F30" s="30">
        <v>815</v>
      </c>
      <c r="G30" s="31"/>
      <c r="H30" s="8"/>
      <c r="I30" s="8"/>
    </row>
    <row r="31" spans="1:9" ht="15.75">
      <c r="A31" s="63"/>
      <c r="B31" s="64"/>
      <c r="C31" s="64"/>
      <c r="D31" s="64"/>
      <c r="E31" s="64"/>
      <c r="F31" s="64"/>
      <c r="G31" s="59"/>
      <c r="H31" s="55"/>
      <c r="I31" s="55"/>
    </row>
    <row r="32" spans="1:9" ht="34.5" customHeight="1">
      <c r="A32" s="40" t="s">
        <v>37</v>
      </c>
      <c r="B32" s="40"/>
      <c r="C32" s="40"/>
      <c r="D32" s="40"/>
      <c r="E32" s="40"/>
      <c r="F32" s="40"/>
      <c r="G32" s="31"/>
      <c r="H32" s="8"/>
      <c r="I32" s="8"/>
    </row>
    <row r="33" spans="1:9" ht="15.75">
      <c r="A33" s="8"/>
      <c r="B33" s="27"/>
      <c r="C33" s="65"/>
      <c r="D33" s="65"/>
      <c r="E33" s="65"/>
      <c r="F33" s="65"/>
      <c r="G33" s="31"/>
      <c r="H33" s="8"/>
      <c r="I33" s="8"/>
    </row>
    <row r="34" spans="1:9" ht="15.75">
      <c r="A34" s="7" t="s">
        <v>16</v>
      </c>
      <c r="B34" s="20"/>
      <c r="C34" s="61"/>
      <c r="D34" s="61"/>
      <c r="E34" s="65"/>
      <c r="F34" s="65"/>
      <c r="G34" s="31"/>
      <c r="H34" s="8"/>
      <c r="I34" s="8"/>
    </row>
    <row r="35" spans="1:9" ht="15.75">
      <c r="A35" s="7"/>
      <c r="B35" s="20"/>
      <c r="C35" s="61"/>
      <c r="D35" s="61"/>
      <c r="E35" s="65"/>
      <c r="F35" s="65"/>
      <c r="G35" s="31"/>
      <c r="H35" s="8"/>
      <c r="I35" s="8"/>
    </row>
    <row r="36" spans="1:9" ht="15.75">
      <c r="A36" s="7"/>
      <c r="B36" s="20"/>
      <c r="C36" s="61"/>
      <c r="D36" s="61"/>
      <c r="E36" s="65"/>
      <c r="F36" s="65"/>
      <c r="G36" s="31"/>
      <c r="H36" s="8"/>
      <c r="I36" s="8"/>
    </row>
    <row r="37" spans="1:9" ht="15.75">
      <c r="A37" s="8"/>
      <c r="B37" s="27"/>
      <c r="C37" s="65"/>
      <c r="D37" s="65"/>
      <c r="E37" s="65"/>
      <c r="F37" s="65"/>
      <c r="G37" s="31"/>
      <c r="H37" s="8"/>
      <c r="I37" s="8"/>
    </row>
    <row r="38" spans="1:9" ht="15.75">
      <c r="A38" s="8"/>
      <c r="B38" s="27"/>
      <c r="C38" s="65"/>
      <c r="D38" s="65"/>
      <c r="E38" s="65"/>
      <c r="F38" s="65"/>
      <c r="G38" s="31"/>
      <c r="H38" s="8"/>
      <c r="I38" s="8"/>
    </row>
    <row r="39" spans="1:9" ht="15.75">
      <c r="A39" s="8"/>
      <c r="B39" s="27"/>
      <c r="C39" s="65"/>
      <c r="D39" s="65"/>
      <c r="E39" s="65"/>
      <c r="F39" s="65"/>
      <c r="G39" s="31"/>
      <c r="H39" s="8"/>
      <c r="I39" s="8"/>
    </row>
    <row r="40" spans="1:9" ht="15.75">
      <c r="A40" s="8"/>
      <c r="B40" s="27"/>
      <c r="C40" s="65"/>
      <c r="D40" s="65"/>
      <c r="E40" s="65"/>
      <c r="F40" s="65"/>
      <c r="G40" s="31"/>
      <c r="H40" s="8"/>
      <c r="I40" s="8"/>
    </row>
  </sheetData>
  <sheetProtection/>
  <mergeCells count="1">
    <mergeCell ref="A32:F32"/>
  </mergeCells>
  <printOptions/>
  <pageMargins left="0.7" right="0.7" top="0.75" bottom="0.75" header="0.3" footer="0.3"/>
  <pageSetup fitToHeight="1" fitToWidth="1" horizontalDpi="600" verticalDpi="600" orientation="landscape" scale="90" r:id="rId1"/>
</worksheet>
</file>

<file path=xl/worksheets/sheet13.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selection activeCell="F1" sqref="F1"/>
    </sheetView>
  </sheetViews>
  <sheetFormatPr defaultColWidth="8.88671875" defaultRowHeight="15.75"/>
  <cols>
    <col min="1" max="1" width="39.77734375" style="0" customWidth="1"/>
    <col min="2" max="16384" width="13.77734375" style="0" customWidth="1"/>
  </cols>
  <sheetData>
    <row r="1" spans="1:8" ht="23.25">
      <c r="A1" s="28" t="s">
        <v>24</v>
      </c>
      <c r="B1" s="7"/>
      <c r="C1" s="7"/>
      <c r="D1" s="7"/>
      <c r="E1" s="8"/>
      <c r="G1" s="31"/>
      <c r="H1" s="8"/>
    </row>
    <row r="2" spans="1:8" ht="20.25">
      <c r="A2" s="29" t="s">
        <v>53</v>
      </c>
      <c r="B2" s="7"/>
      <c r="C2" s="7"/>
      <c r="D2" s="8"/>
      <c r="E2" s="8"/>
      <c r="F2" s="8"/>
      <c r="G2" s="31"/>
      <c r="H2" s="8"/>
    </row>
    <row r="3" spans="1:8" ht="20.25">
      <c r="A3" s="28" t="s">
        <v>0</v>
      </c>
      <c r="B3" s="7"/>
      <c r="C3" s="7"/>
      <c r="D3" s="8"/>
      <c r="E3" s="8"/>
      <c r="F3" s="8"/>
      <c r="G3" s="31"/>
      <c r="H3" s="8"/>
    </row>
    <row r="4" spans="1:8" ht="15.75">
      <c r="A4" s="8"/>
      <c r="B4" s="8"/>
      <c r="C4" s="8"/>
      <c r="D4" s="8"/>
      <c r="E4" s="8"/>
      <c r="F4" s="8"/>
      <c r="G4" s="31"/>
      <c r="H4" s="8"/>
    </row>
    <row r="5" spans="1:8" ht="43.5">
      <c r="A5" s="32"/>
      <c r="B5" s="33" t="s">
        <v>25</v>
      </c>
      <c r="C5" s="33" t="s">
        <v>26</v>
      </c>
      <c r="D5" s="33" t="s">
        <v>27</v>
      </c>
      <c r="E5" s="33" t="s">
        <v>28</v>
      </c>
      <c r="F5" s="33" t="s">
        <v>29</v>
      </c>
      <c r="G5" s="31"/>
      <c r="H5" s="8"/>
    </row>
    <row r="6" spans="1:8" ht="15.75">
      <c r="A6" s="8"/>
      <c r="B6" s="49"/>
      <c r="C6" s="41"/>
      <c r="D6" s="41"/>
      <c r="E6" s="41"/>
      <c r="F6" s="41"/>
      <c r="G6" s="31"/>
      <c r="H6" s="8"/>
    </row>
    <row r="7" spans="1:8" ht="15.75">
      <c r="A7" s="11" t="s">
        <v>18</v>
      </c>
      <c r="B7" s="30">
        <v>1098</v>
      </c>
      <c r="C7" s="30">
        <v>6130</v>
      </c>
      <c r="D7" s="30">
        <v>5542</v>
      </c>
      <c r="E7" s="30">
        <v>5189</v>
      </c>
      <c r="F7" s="35" t="s">
        <v>57</v>
      </c>
      <c r="G7" s="31"/>
      <c r="H7" s="8"/>
    </row>
    <row r="8" spans="1:8" ht="15.75">
      <c r="A8" s="8"/>
      <c r="B8" s="8"/>
      <c r="C8" s="18"/>
      <c r="D8" s="18"/>
      <c r="E8" s="18"/>
      <c r="F8" s="18"/>
      <c r="G8" s="31"/>
      <c r="H8" s="8"/>
    </row>
    <row r="9" spans="1:8" ht="15.75">
      <c r="A9" s="11" t="s">
        <v>1</v>
      </c>
      <c r="B9" s="18" t="s">
        <v>2</v>
      </c>
      <c r="C9" s="43"/>
      <c r="D9" s="43"/>
      <c r="E9" s="43"/>
      <c r="F9" s="18"/>
      <c r="G9" s="31"/>
      <c r="H9" s="8"/>
    </row>
    <row r="10" spans="1:8" ht="15.75">
      <c r="A10" s="11" t="s">
        <v>17</v>
      </c>
      <c r="B10" s="14">
        <v>11398</v>
      </c>
      <c r="C10" s="44">
        <v>4789</v>
      </c>
      <c r="D10" s="44">
        <v>4771</v>
      </c>
      <c r="E10" s="44">
        <f>F10-SUM(B10:D10)</f>
        <v>4896</v>
      </c>
      <c r="F10" s="35">
        <v>25854</v>
      </c>
      <c r="G10" s="31"/>
      <c r="H10" s="8"/>
    </row>
    <row r="11" spans="1:8" ht="15.75">
      <c r="A11" s="11" t="s">
        <v>3</v>
      </c>
      <c r="B11" s="37">
        <v>1823</v>
      </c>
      <c r="C11" s="37">
        <v>1619</v>
      </c>
      <c r="D11" s="37">
        <v>1884</v>
      </c>
      <c r="E11" s="44">
        <f>F11-SUM(B11:D11)</f>
        <v>1772</v>
      </c>
      <c r="F11" s="35">
        <v>7098</v>
      </c>
      <c r="G11" s="31"/>
      <c r="H11" s="8"/>
    </row>
    <row r="12" spans="1:8" ht="15.75">
      <c r="A12" s="11" t="s">
        <v>4</v>
      </c>
      <c r="B12" s="37">
        <v>997</v>
      </c>
      <c r="C12" s="37">
        <v>800</v>
      </c>
      <c r="D12" s="37">
        <v>851</v>
      </c>
      <c r="E12" s="44">
        <f>F12-SUM(B12:D12)</f>
        <v>968</v>
      </c>
      <c r="F12" s="35">
        <v>3616</v>
      </c>
      <c r="G12" s="31"/>
      <c r="H12" s="8"/>
    </row>
    <row r="13" spans="1:8" ht="15.75">
      <c r="A13" s="11" t="s">
        <v>5</v>
      </c>
      <c r="B13" s="37">
        <v>207</v>
      </c>
      <c r="C13" s="37">
        <v>151</v>
      </c>
      <c r="D13" s="37">
        <v>227</v>
      </c>
      <c r="E13" s="44">
        <f>F13-SUM(B13:D13)</f>
        <v>218</v>
      </c>
      <c r="F13" s="35">
        <v>803</v>
      </c>
      <c r="G13" s="31"/>
      <c r="H13" s="8"/>
    </row>
    <row r="14" spans="1:8" ht="15.75">
      <c r="A14" s="11" t="s">
        <v>6</v>
      </c>
      <c r="B14" s="37">
        <v>345</v>
      </c>
      <c r="C14" s="37">
        <v>413</v>
      </c>
      <c r="D14" s="37">
        <v>459</v>
      </c>
      <c r="E14" s="44">
        <f>F14-SUM(B14:D14)</f>
        <v>408</v>
      </c>
      <c r="F14" s="35">
        <v>1625</v>
      </c>
      <c r="G14" s="31"/>
      <c r="H14" s="8"/>
    </row>
    <row r="15" spans="1:8" ht="15.75">
      <c r="A15" s="11" t="s">
        <v>7</v>
      </c>
      <c r="B15" s="37">
        <v>549</v>
      </c>
      <c r="C15" s="37">
        <v>468</v>
      </c>
      <c r="D15" s="37">
        <v>629</v>
      </c>
      <c r="E15" s="44">
        <f>F15-SUM(B15:D15)</f>
        <v>502</v>
      </c>
      <c r="F15" s="35">
        <f>1750+398</f>
        <v>2148</v>
      </c>
      <c r="G15" s="31"/>
      <c r="H15" s="8"/>
    </row>
    <row r="16" spans="1:8" ht="15.75">
      <c r="A16" s="8"/>
      <c r="B16" s="37" t="s">
        <v>54</v>
      </c>
      <c r="C16" s="14"/>
      <c r="D16" s="14"/>
      <c r="E16" s="44"/>
      <c r="F16" s="14"/>
      <c r="G16" s="31"/>
      <c r="H16" s="8"/>
    </row>
    <row r="17" spans="1:8" ht="15.75">
      <c r="A17" s="11" t="s">
        <v>8</v>
      </c>
      <c r="B17" s="30">
        <v>15319</v>
      </c>
      <c r="C17" s="30">
        <v>8240</v>
      </c>
      <c r="D17" s="30">
        <v>8821</v>
      </c>
      <c r="E17" s="30">
        <f>(41144-(15319+8240+8821))*1</f>
        <v>8764</v>
      </c>
      <c r="F17" s="30">
        <v>41144</v>
      </c>
      <c r="G17" s="31"/>
      <c r="H17" s="8"/>
    </row>
    <row r="18" spans="1:8" ht="15.75">
      <c r="A18" s="8"/>
      <c r="B18" s="37"/>
      <c r="C18" s="37"/>
      <c r="D18" s="37"/>
      <c r="E18" s="37"/>
      <c r="F18" s="37"/>
      <c r="G18" s="31"/>
      <c r="H18" s="8"/>
    </row>
    <row r="19" spans="1:8" ht="15.75">
      <c r="A19" s="11" t="s">
        <v>9</v>
      </c>
      <c r="B19" s="37"/>
      <c r="C19" s="37"/>
      <c r="D19" s="37"/>
      <c r="E19" s="37"/>
      <c r="F19" s="37"/>
      <c r="G19" s="31"/>
      <c r="H19" s="8"/>
    </row>
    <row r="20" spans="1:8" ht="15.75">
      <c r="A20" s="11" t="s">
        <v>10</v>
      </c>
      <c r="B20" s="37">
        <v>6386</v>
      </c>
      <c r="C20" s="37">
        <v>4973</v>
      </c>
      <c r="D20" s="37">
        <v>6086</v>
      </c>
      <c r="E20" s="44">
        <f>F20-SUM(B20:D20)</f>
        <v>10390</v>
      </c>
      <c r="F20" s="35">
        <v>27835</v>
      </c>
      <c r="G20" s="31"/>
      <c r="H20" s="8"/>
    </row>
    <row r="21" spans="1:8" ht="15.75">
      <c r="A21" s="11" t="s">
        <v>11</v>
      </c>
      <c r="B21" s="37">
        <v>2386</v>
      </c>
      <c r="C21" s="37">
        <v>2358</v>
      </c>
      <c r="D21" s="37">
        <v>1745</v>
      </c>
      <c r="E21" s="44">
        <f>F21-SUM(B21:D21)</f>
        <v>1350</v>
      </c>
      <c r="F21" s="35">
        <v>7839</v>
      </c>
      <c r="G21" s="31"/>
      <c r="H21" s="8"/>
    </row>
    <row r="22" spans="1:8" ht="15.75">
      <c r="A22" s="11" t="s">
        <v>12</v>
      </c>
      <c r="B22" s="37">
        <v>727</v>
      </c>
      <c r="C22" s="37">
        <v>752</v>
      </c>
      <c r="D22" s="37">
        <v>544</v>
      </c>
      <c r="E22" s="44">
        <f>F22-SUM(B22:D22)</f>
        <v>627</v>
      </c>
      <c r="F22" s="35">
        <v>2650</v>
      </c>
      <c r="G22" s="31"/>
      <c r="H22" s="8"/>
    </row>
    <row r="23" spans="1:8" ht="15.75">
      <c r="A23" s="11" t="s">
        <v>42</v>
      </c>
      <c r="B23" s="44">
        <v>0</v>
      </c>
      <c r="C23" s="44">
        <v>0</v>
      </c>
      <c r="D23" s="44">
        <v>0</v>
      </c>
      <c r="E23" s="44">
        <v>0</v>
      </c>
      <c r="F23" s="44">
        <v>0</v>
      </c>
      <c r="G23" s="31"/>
      <c r="H23" s="8"/>
    </row>
    <row r="24" spans="1:8" ht="15.75">
      <c r="A24" s="11" t="s">
        <v>13</v>
      </c>
      <c r="B24" s="37">
        <v>788</v>
      </c>
      <c r="C24" s="37">
        <v>745</v>
      </c>
      <c r="D24" s="37">
        <v>799</v>
      </c>
      <c r="E24" s="44">
        <f>F24-SUM(B24:D24)</f>
        <v>566</v>
      </c>
      <c r="F24" s="35">
        <f>2086+289+69+454</f>
        <v>2898</v>
      </c>
      <c r="G24" s="31"/>
      <c r="H24" s="8"/>
    </row>
    <row r="25" spans="1:8" ht="15.75">
      <c r="A25" s="8"/>
      <c r="B25" s="8"/>
      <c r="C25" s="10"/>
      <c r="D25" s="10"/>
      <c r="E25" s="43"/>
      <c r="F25" s="20"/>
      <c r="G25" s="31"/>
      <c r="H25" s="8"/>
    </row>
    <row r="26" spans="1:8" ht="15.75">
      <c r="A26" s="11" t="s">
        <v>14</v>
      </c>
      <c r="B26" s="30">
        <v>10287</v>
      </c>
      <c r="C26" s="30">
        <v>8828</v>
      </c>
      <c r="D26" s="30">
        <v>9174</v>
      </c>
      <c r="E26" s="30">
        <f>(41222-(10287+8828+9174))*1</f>
        <v>12933</v>
      </c>
      <c r="F26" s="30">
        <v>41222</v>
      </c>
      <c r="G26" s="31"/>
      <c r="H26" s="8"/>
    </row>
    <row r="27" spans="1:8" ht="15.75">
      <c r="A27" s="8"/>
      <c r="B27" s="30"/>
      <c r="C27" s="30"/>
      <c r="D27" s="30"/>
      <c r="E27" s="30"/>
      <c r="F27" s="30"/>
      <c r="G27" s="31"/>
      <c r="H27" s="8"/>
    </row>
    <row r="28" spans="1:8" ht="15.75">
      <c r="A28" s="11" t="s">
        <v>22</v>
      </c>
      <c r="B28" s="30">
        <v>5032</v>
      </c>
      <c r="C28" s="30">
        <f>(C17-C26)*1</f>
        <v>-588</v>
      </c>
      <c r="D28" s="30">
        <f>(D17-D26)*1</f>
        <v>-353</v>
      </c>
      <c r="E28" s="30">
        <f>(E17-E26)*1</f>
        <v>-4169</v>
      </c>
      <c r="F28" s="30">
        <f>(F17-F26)*1</f>
        <v>-78</v>
      </c>
      <c r="G28" s="31"/>
      <c r="H28" s="8"/>
    </row>
    <row r="29" spans="1:8" ht="15.75">
      <c r="A29" s="8"/>
      <c r="B29" s="30"/>
      <c r="C29" s="30"/>
      <c r="D29" s="30"/>
      <c r="E29" s="30"/>
      <c r="F29" s="30"/>
      <c r="G29" s="31"/>
      <c r="H29" s="8"/>
    </row>
    <row r="30" spans="1:8" ht="15.75">
      <c r="A30" s="11" t="s">
        <v>15</v>
      </c>
      <c r="B30" s="30">
        <v>6130</v>
      </c>
      <c r="C30" s="30">
        <v>5542</v>
      </c>
      <c r="D30" s="30">
        <v>5189</v>
      </c>
      <c r="E30" s="35" t="s">
        <v>56</v>
      </c>
      <c r="F30" s="35" t="s">
        <v>55</v>
      </c>
      <c r="G30" s="31"/>
      <c r="H30" s="8"/>
    </row>
    <row r="31" spans="1:8" ht="15.75">
      <c r="A31" s="9"/>
      <c r="B31" s="22"/>
      <c r="C31" s="22"/>
      <c r="D31" s="22"/>
      <c r="E31" s="22"/>
      <c r="F31" s="22"/>
      <c r="G31" s="31"/>
      <c r="H31" s="8"/>
    </row>
    <row r="32" spans="1:8" ht="34.5" customHeight="1">
      <c r="A32" s="40" t="s">
        <v>58</v>
      </c>
      <c r="B32" s="40"/>
      <c r="C32" s="40"/>
      <c r="D32" s="40"/>
      <c r="E32" s="40"/>
      <c r="F32" s="40"/>
      <c r="G32" s="31"/>
      <c r="H32" s="8"/>
    </row>
    <row r="33" spans="1:8" ht="15.75">
      <c r="A33" s="23"/>
      <c r="B33" s="24"/>
      <c r="C33" s="24"/>
      <c r="D33" s="24"/>
      <c r="E33" s="24"/>
      <c r="F33" s="24"/>
      <c r="G33" s="31"/>
      <c r="H33" s="8"/>
    </row>
    <row r="34" spans="1:8" ht="33.75" customHeight="1">
      <c r="A34" s="40" t="s">
        <v>59</v>
      </c>
      <c r="B34" s="40"/>
      <c r="C34" s="40"/>
      <c r="D34" s="40"/>
      <c r="E34" s="40"/>
      <c r="F34" s="40"/>
      <c r="G34" s="31"/>
      <c r="H34" s="8"/>
    </row>
    <row r="35" spans="1:8" ht="15.75">
      <c r="A35" s="8"/>
      <c r="B35" s="27"/>
      <c r="C35" s="27"/>
      <c r="D35" s="27"/>
      <c r="E35" s="27"/>
      <c r="F35" s="27"/>
      <c r="G35" s="31"/>
      <c r="H35" s="8"/>
    </row>
    <row r="36" spans="1:8" ht="15.75">
      <c r="A36" s="7" t="s">
        <v>16</v>
      </c>
      <c r="B36" s="20"/>
      <c r="C36" s="20"/>
      <c r="D36" s="20"/>
      <c r="E36" s="27"/>
      <c r="F36" s="27"/>
      <c r="G36" s="31"/>
      <c r="H36" s="8"/>
    </row>
    <row r="37" spans="1:8" ht="15.75">
      <c r="A37" s="7"/>
      <c r="B37" s="20"/>
      <c r="C37" s="20"/>
      <c r="D37" s="20"/>
      <c r="E37" s="27"/>
      <c r="F37" s="27"/>
      <c r="G37" s="31"/>
      <c r="H37" s="8"/>
    </row>
  </sheetData>
  <sheetProtection/>
  <mergeCells count="2">
    <mergeCell ref="A32:F32"/>
    <mergeCell ref="A34:F34"/>
  </mergeCells>
  <printOptions/>
  <pageMargins left="0.7" right="0.7" top="0.75" bottom="0.75" header="0.3" footer="0.3"/>
  <pageSetup fitToHeight="1" fitToWidth="1" horizontalDpi="600" verticalDpi="600" orientation="landscape" scale="83" r:id="rId1"/>
</worksheet>
</file>

<file path=xl/worksheets/sheet14.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
      <selection activeCell="F1" sqref="F1"/>
    </sheetView>
  </sheetViews>
  <sheetFormatPr defaultColWidth="8.88671875" defaultRowHeight="15.75"/>
  <cols>
    <col min="1" max="1" width="39.77734375" style="0" customWidth="1"/>
    <col min="2" max="16384" width="13.77734375" style="0" customWidth="1"/>
  </cols>
  <sheetData>
    <row r="1" spans="1:8" ht="23.25">
      <c r="A1" s="28" t="s">
        <v>24</v>
      </c>
      <c r="B1" s="7"/>
      <c r="C1" s="7"/>
      <c r="D1" s="7"/>
      <c r="E1" s="8"/>
      <c r="G1" s="8"/>
      <c r="H1" s="8"/>
    </row>
    <row r="2" spans="1:8" ht="20.25">
      <c r="A2" s="29" t="s">
        <v>60</v>
      </c>
      <c r="B2" s="7"/>
      <c r="C2" s="7"/>
      <c r="D2" s="8"/>
      <c r="E2" s="8"/>
      <c r="F2" s="8"/>
      <c r="G2" s="8"/>
      <c r="H2" s="8"/>
    </row>
    <row r="3" spans="1:8" ht="20.25">
      <c r="A3" s="28" t="s">
        <v>0</v>
      </c>
      <c r="B3" s="7"/>
      <c r="C3" s="7"/>
      <c r="D3" s="8"/>
      <c r="E3" s="8"/>
      <c r="F3" s="8"/>
      <c r="G3" s="8"/>
      <c r="H3" s="8"/>
    </row>
    <row r="4" spans="1:8" ht="15.75">
      <c r="A4" s="8"/>
      <c r="B4" s="8"/>
      <c r="C4" s="8"/>
      <c r="D4" s="8"/>
      <c r="E4" s="8"/>
      <c r="F4" s="8"/>
      <c r="G4" s="8"/>
      <c r="H4" s="8"/>
    </row>
    <row r="5" spans="1:8" ht="43.5">
      <c r="A5" s="32"/>
      <c r="B5" s="33" t="s">
        <v>25</v>
      </c>
      <c r="C5" s="33" t="s">
        <v>26</v>
      </c>
      <c r="D5" s="33" t="s">
        <v>27</v>
      </c>
      <c r="E5" s="33" t="s">
        <v>28</v>
      </c>
      <c r="F5" s="33" t="s">
        <v>29</v>
      </c>
      <c r="G5" s="8"/>
      <c r="H5" s="8"/>
    </row>
    <row r="6" spans="1:8" ht="15.75">
      <c r="A6" s="8"/>
      <c r="B6" s="49"/>
      <c r="C6" s="41"/>
      <c r="D6" s="41"/>
      <c r="E6" s="41"/>
      <c r="F6" s="41"/>
      <c r="G6" s="8"/>
      <c r="H6" s="8"/>
    </row>
    <row r="7" spans="1:8" ht="15.75">
      <c r="A7" s="11" t="s">
        <v>18</v>
      </c>
      <c r="B7" s="30">
        <v>917</v>
      </c>
      <c r="C7" s="30">
        <v>6502</v>
      </c>
      <c r="D7" s="30">
        <v>7243</v>
      </c>
      <c r="E7" s="30">
        <v>6235</v>
      </c>
      <c r="F7" s="30">
        <v>917</v>
      </c>
      <c r="G7" s="27"/>
      <c r="H7" s="8"/>
    </row>
    <row r="8" spans="1:8" ht="15.75">
      <c r="A8" s="8"/>
      <c r="B8" s="18"/>
      <c r="C8" s="18"/>
      <c r="D8" s="18"/>
      <c r="E8" s="18"/>
      <c r="F8" s="18"/>
      <c r="G8" s="27"/>
      <c r="H8" s="8"/>
    </row>
    <row r="9" spans="1:8" ht="15.75">
      <c r="A9" s="11" t="s">
        <v>1</v>
      </c>
      <c r="B9" s="18" t="s">
        <v>2</v>
      </c>
      <c r="C9" s="43"/>
      <c r="D9" s="43"/>
      <c r="E9" s="43"/>
      <c r="F9" s="18"/>
      <c r="G9" s="27"/>
      <c r="H9" s="8"/>
    </row>
    <row r="10" spans="1:8" ht="15.75">
      <c r="A10" s="11" t="s">
        <v>17</v>
      </c>
      <c r="B10" s="14">
        <v>10915</v>
      </c>
      <c r="C10" s="44">
        <v>5428</v>
      </c>
      <c r="D10" s="44">
        <v>3917</v>
      </c>
      <c r="E10" s="44">
        <v>3306</v>
      </c>
      <c r="F10" s="35">
        <f aca="true" t="shared" si="0" ref="F10:F15">SUM(B10:E10)</f>
        <v>23566</v>
      </c>
      <c r="G10" s="27"/>
      <c r="H10" s="8"/>
    </row>
    <row r="11" spans="1:8" ht="15.75">
      <c r="A11" s="11" t="s">
        <v>3</v>
      </c>
      <c r="B11" s="37">
        <v>1827</v>
      </c>
      <c r="C11" s="37">
        <v>1917</v>
      </c>
      <c r="D11" s="37">
        <v>1862</v>
      </c>
      <c r="E11" s="37">
        <v>1798</v>
      </c>
      <c r="F11" s="35">
        <f t="shared" si="0"/>
        <v>7404</v>
      </c>
      <c r="G11" s="27"/>
      <c r="H11" s="8"/>
    </row>
    <row r="12" spans="1:8" ht="15.75">
      <c r="A12" s="11" t="s">
        <v>4</v>
      </c>
      <c r="B12" s="37">
        <v>1050</v>
      </c>
      <c r="C12" s="37">
        <v>1116</v>
      </c>
      <c r="D12" s="37">
        <v>1066</v>
      </c>
      <c r="E12" s="37">
        <v>1096</v>
      </c>
      <c r="F12" s="35">
        <f t="shared" si="0"/>
        <v>4328</v>
      </c>
      <c r="G12" s="27"/>
      <c r="H12" s="8"/>
    </row>
    <row r="13" spans="1:8" ht="15.75">
      <c r="A13" s="11" t="s">
        <v>5</v>
      </c>
      <c r="B13" s="37">
        <v>263</v>
      </c>
      <c r="C13" s="37">
        <v>200</v>
      </c>
      <c r="D13" s="37">
        <v>165</v>
      </c>
      <c r="E13" s="37">
        <v>167</v>
      </c>
      <c r="F13" s="35">
        <f t="shared" si="0"/>
        <v>795</v>
      </c>
      <c r="G13" s="27"/>
      <c r="H13" s="8"/>
    </row>
    <row r="14" spans="1:8" ht="15.75">
      <c r="A14" s="11" t="s">
        <v>6</v>
      </c>
      <c r="B14" s="37">
        <v>301</v>
      </c>
      <c r="C14" s="37">
        <v>396</v>
      </c>
      <c r="D14" s="37">
        <v>420</v>
      </c>
      <c r="E14" s="37">
        <v>436</v>
      </c>
      <c r="F14" s="35">
        <f t="shared" si="0"/>
        <v>1553</v>
      </c>
      <c r="G14" s="27"/>
      <c r="H14" s="8"/>
    </row>
    <row r="15" spans="1:8" ht="15.75">
      <c r="A15" s="11" t="s">
        <v>7</v>
      </c>
      <c r="B15" s="37">
        <v>576</v>
      </c>
      <c r="C15" s="37">
        <v>520</v>
      </c>
      <c r="D15" s="37">
        <v>601</v>
      </c>
      <c r="E15" s="37">
        <v>537</v>
      </c>
      <c r="F15" s="35">
        <f t="shared" si="0"/>
        <v>2234</v>
      </c>
      <c r="G15" s="27"/>
      <c r="H15" s="8"/>
    </row>
    <row r="16" spans="1:8" ht="15.75">
      <c r="A16" s="8"/>
      <c r="B16" s="37" t="s">
        <v>54</v>
      </c>
      <c r="C16" s="14"/>
      <c r="D16" s="14"/>
      <c r="E16" s="37"/>
      <c r="F16" s="14"/>
      <c r="G16" s="27"/>
      <c r="H16" s="8"/>
    </row>
    <row r="17" spans="1:8" ht="15.75">
      <c r="A17" s="11" t="s">
        <v>8</v>
      </c>
      <c r="B17" s="30">
        <v>14932</v>
      </c>
      <c r="C17" s="30">
        <v>9580</v>
      </c>
      <c r="D17" s="30">
        <v>8031</v>
      </c>
      <c r="E17" s="30">
        <v>7340</v>
      </c>
      <c r="F17" s="30">
        <v>39883</v>
      </c>
      <c r="G17" s="27"/>
      <c r="H17" s="8"/>
    </row>
    <row r="18" spans="1:8" ht="15.75">
      <c r="A18" s="8"/>
      <c r="B18" s="37"/>
      <c r="C18" s="37"/>
      <c r="D18" s="37"/>
      <c r="E18" s="37"/>
      <c r="F18" s="37"/>
      <c r="G18" s="27"/>
      <c r="H18" s="8"/>
    </row>
    <row r="19" spans="1:8" ht="15.75">
      <c r="A19" s="11" t="s">
        <v>9</v>
      </c>
      <c r="B19" s="37"/>
      <c r="C19" s="37"/>
      <c r="D19" s="37"/>
      <c r="E19" s="37"/>
      <c r="F19" s="37"/>
      <c r="G19" s="27"/>
      <c r="H19" s="8"/>
    </row>
    <row r="20" spans="1:8" ht="15.75">
      <c r="A20" s="11" t="s">
        <v>10</v>
      </c>
      <c r="B20" s="37">
        <v>5727</v>
      </c>
      <c r="C20" s="37">
        <v>4924</v>
      </c>
      <c r="D20" s="37">
        <v>6072</v>
      </c>
      <c r="E20" s="37">
        <v>9944</v>
      </c>
      <c r="F20" s="35">
        <f>SUM(B20:E20)</f>
        <v>26667</v>
      </c>
      <c r="G20" s="27"/>
      <c r="H20" s="8"/>
    </row>
    <row r="21" spans="1:8" ht="15.75">
      <c r="A21" s="11" t="s">
        <v>11</v>
      </c>
      <c r="B21" s="37">
        <v>2146</v>
      </c>
      <c r="C21" s="37">
        <v>2435</v>
      </c>
      <c r="D21" s="37">
        <v>1651</v>
      </c>
      <c r="E21" s="37">
        <v>1373</v>
      </c>
      <c r="F21" s="35">
        <f>SUM(B21:E21)</f>
        <v>7605</v>
      </c>
      <c r="G21" s="27"/>
      <c r="H21" s="8"/>
    </row>
    <row r="22" spans="1:8" ht="15.75">
      <c r="A22" s="11" t="s">
        <v>12</v>
      </c>
      <c r="B22" s="37">
        <v>674</v>
      </c>
      <c r="C22" s="37">
        <v>687</v>
      </c>
      <c r="D22" s="37">
        <v>619</v>
      </c>
      <c r="E22" s="37">
        <v>587</v>
      </c>
      <c r="F22" s="35">
        <f>SUM(B22:E22)</f>
        <v>2567</v>
      </c>
      <c r="G22" s="27"/>
      <c r="H22" s="8"/>
    </row>
    <row r="23" spans="1:8" ht="15.75">
      <c r="A23" s="11" t="s">
        <v>42</v>
      </c>
      <c r="B23" s="44">
        <v>0</v>
      </c>
      <c r="C23" s="37">
        <v>1</v>
      </c>
      <c r="D23" s="44">
        <v>0</v>
      </c>
      <c r="E23" s="44">
        <v>0</v>
      </c>
      <c r="F23" s="35">
        <f>SUM(B23:E23)</f>
        <v>1</v>
      </c>
      <c r="G23" s="27"/>
      <c r="H23" s="8"/>
    </row>
    <row r="24" spans="1:8" ht="15.75">
      <c r="A24" s="11" t="s">
        <v>13</v>
      </c>
      <c r="B24" s="37">
        <v>800</v>
      </c>
      <c r="C24" s="37">
        <v>792</v>
      </c>
      <c r="D24" s="37">
        <v>697</v>
      </c>
      <c r="E24" s="37">
        <v>573</v>
      </c>
      <c r="F24" s="35">
        <f>SUM(B24:E24)</f>
        <v>2862</v>
      </c>
      <c r="G24" s="27"/>
      <c r="H24" s="8"/>
    </row>
    <row r="25" spans="1:8" ht="15.75">
      <c r="A25" s="8"/>
      <c r="B25" s="10"/>
      <c r="C25" s="10"/>
      <c r="D25" s="10"/>
      <c r="E25" s="20"/>
      <c r="F25" s="20"/>
      <c r="G25" s="27"/>
      <c r="H25" s="8"/>
    </row>
    <row r="26" spans="1:8" ht="15.75">
      <c r="A26" s="11" t="s">
        <v>14</v>
      </c>
      <c r="B26" s="30">
        <v>9347</v>
      </c>
      <c r="C26" s="30">
        <v>8839</v>
      </c>
      <c r="D26" s="30">
        <v>9039</v>
      </c>
      <c r="E26" s="30">
        <v>12477</v>
      </c>
      <c r="F26" s="30">
        <v>39702</v>
      </c>
      <c r="G26" s="27"/>
      <c r="H26" s="8"/>
    </row>
    <row r="27" spans="1:8" ht="15.75">
      <c r="A27" s="8"/>
      <c r="B27" s="30"/>
      <c r="C27" s="30"/>
      <c r="D27" s="30"/>
      <c r="E27" s="30"/>
      <c r="F27" s="30"/>
      <c r="G27" s="27"/>
      <c r="H27" s="8"/>
    </row>
    <row r="28" spans="1:8" ht="15.75">
      <c r="A28" s="11" t="s">
        <v>22</v>
      </c>
      <c r="B28" s="30">
        <v>5585</v>
      </c>
      <c r="C28" s="30">
        <f>(C17-C26)*1</f>
        <v>741</v>
      </c>
      <c r="D28" s="30">
        <f>(D17-D26)*1</f>
        <v>-1008</v>
      </c>
      <c r="E28" s="30">
        <f>(E17-E26)*1</f>
        <v>-5137</v>
      </c>
      <c r="F28" s="30">
        <f>(F17-F26)*1</f>
        <v>181</v>
      </c>
      <c r="G28" s="27"/>
      <c r="H28" s="8"/>
    </row>
    <row r="29" spans="1:8" ht="15.75">
      <c r="A29" s="8"/>
      <c r="B29" s="30"/>
      <c r="C29" s="30"/>
      <c r="D29" s="30"/>
      <c r="E29" s="30"/>
      <c r="F29" s="30"/>
      <c r="G29" s="27"/>
      <c r="H29" s="8"/>
    </row>
    <row r="30" spans="1:8" ht="15.75">
      <c r="A30" s="11" t="s">
        <v>15</v>
      </c>
      <c r="B30" s="30">
        <v>6502</v>
      </c>
      <c r="C30" s="30">
        <v>7243</v>
      </c>
      <c r="D30" s="30">
        <v>6235</v>
      </c>
      <c r="E30" s="30">
        <v>1098</v>
      </c>
      <c r="F30" s="30">
        <v>1098</v>
      </c>
      <c r="G30" s="27"/>
      <c r="H30" s="8"/>
    </row>
    <row r="31" spans="1:8" ht="15.75">
      <c r="A31" s="9"/>
      <c r="B31" s="22"/>
      <c r="C31" s="22"/>
      <c r="D31" s="22"/>
      <c r="E31" s="22"/>
      <c r="F31" s="22"/>
      <c r="G31" s="27"/>
      <c r="H31" s="8"/>
    </row>
    <row r="32" spans="1:8" ht="36.75" customHeight="1">
      <c r="A32" s="40" t="s">
        <v>61</v>
      </c>
      <c r="B32" s="40"/>
      <c r="C32" s="40"/>
      <c r="D32" s="40"/>
      <c r="E32" s="40"/>
      <c r="F32" s="40"/>
      <c r="G32" s="27"/>
      <c r="H32" s="8"/>
    </row>
    <row r="33" spans="1:8" ht="15.75">
      <c r="A33" s="8"/>
      <c r="B33" s="27"/>
      <c r="C33" s="27"/>
      <c r="D33" s="27"/>
      <c r="E33" s="27"/>
      <c r="F33" s="27"/>
      <c r="G33" s="27"/>
      <c r="H33" s="8"/>
    </row>
    <row r="34" spans="1:8" ht="15.75">
      <c r="A34" s="7" t="s">
        <v>16</v>
      </c>
      <c r="B34" s="20"/>
      <c r="C34" s="20"/>
      <c r="D34" s="20"/>
      <c r="E34" s="27"/>
      <c r="F34" s="27"/>
      <c r="G34" s="27"/>
      <c r="H34" s="8"/>
    </row>
    <row r="35" spans="1:8" ht="15.75">
      <c r="A35" s="7"/>
      <c r="B35" s="20"/>
      <c r="C35" s="20"/>
      <c r="D35" s="20"/>
      <c r="E35" s="27"/>
      <c r="F35" s="27"/>
      <c r="G35" s="27"/>
      <c r="H35" s="8"/>
    </row>
    <row r="36" spans="1:8" ht="15.75">
      <c r="A36" s="7"/>
      <c r="B36" s="20"/>
      <c r="C36" s="20"/>
      <c r="D36" s="20"/>
      <c r="E36" s="27"/>
      <c r="F36" s="27"/>
      <c r="G36" s="27"/>
      <c r="H36" s="8"/>
    </row>
    <row r="37" spans="1:8" ht="15.75">
      <c r="A37" s="8"/>
      <c r="B37" s="27"/>
      <c r="C37" s="27"/>
      <c r="D37" s="27"/>
      <c r="E37" s="27"/>
      <c r="F37" s="27"/>
      <c r="G37" s="27"/>
      <c r="H37" s="8"/>
    </row>
    <row r="38" spans="1:8" ht="15.75">
      <c r="A38" s="8"/>
      <c r="B38" s="27"/>
      <c r="C38" s="27"/>
      <c r="D38" s="27"/>
      <c r="E38" s="27"/>
      <c r="F38" s="27"/>
      <c r="G38" s="27"/>
      <c r="H38" s="8"/>
    </row>
    <row r="39" spans="1:8" ht="15.75">
      <c r="A39" s="8"/>
      <c r="B39" s="27"/>
      <c r="C39" s="27"/>
      <c r="D39" s="27"/>
      <c r="E39" s="27"/>
      <c r="F39" s="27"/>
      <c r="G39" s="27"/>
      <c r="H39" s="8"/>
    </row>
    <row r="40" spans="1:8" ht="15.75">
      <c r="A40" s="8"/>
      <c r="B40" s="27"/>
      <c r="C40" s="27"/>
      <c r="D40" s="27"/>
      <c r="E40" s="27"/>
      <c r="F40" s="27"/>
      <c r="G40" s="27"/>
      <c r="H40" s="8"/>
    </row>
    <row r="41" spans="1:8" ht="15.75">
      <c r="A41" s="8"/>
      <c r="B41" s="27"/>
      <c r="C41" s="27"/>
      <c r="D41" s="27"/>
      <c r="E41" s="27"/>
      <c r="F41" s="27"/>
      <c r="G41" s="27"/>
      <c r="H41" s="8"/>
    </row>
  </sheetData>
  <sheetProtection/>
  <mergeCells count="1">
    <mergeCell ref="A32:F32"/>
  </mergeCells>
  <printOptions/>
  <pageMargins left="0.7" right="0.7" top="0.75" bottom="0.75" header="0.3" footer="0.3"/>
  <pageSetup fitToHeight="1" fitToWidth="1" horizontalDpi="600" verticalDpi="600" orientation="landscape" scale="77" r:id="rId1"/>
</worksheet>
</file>

<file path=xl/worksheets/sheet15.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1">
      <selection activeCell="F1" sqref="F1"/>
    </sheetView>
  </sheetViews>
  <sheetFormatPr defaultColWidth="8.88671875" defaultRowHeight="15.75"/>
  <cols>
    <col min="1" max="1" width="39.77734375" style="0" customWidth="1"/>
    <col min="2" max="16384" width="13.77734375" style="0" customWidth="1"/>
  </cols>
  <sheetData>
    <row r="1" spans="1:7" ht="23.25">
      <c r="A1" s="28" t="s">
        <v>24</v>
      </c>
      <c r="B1" s="7"/>
      <c r="C1" s="7"/>
      <c r="D1" s="7"/>
      <c r="E1" s="8"/>
      <c r="G1" s="8"/>
    </row>
    <row r="2" spans="1:7" ht="20.25">
      <c r="A2" s="29" t="s">
        <v>62</v>
      </c>
      <c r="B2" s="7"/>
      <c r="C2" s="7"/>
      <c r="D2" s="8"/>
      <c r="E2" s="8"/>
      <c r="F2" s="8"/>
      <c r="G2" s="8"/>
    </row>
    <row r="3" spans="1:7" ht="20.25">
      <c r="A3" s="28" t="s">
        <v>0</v>
      </c>
      <c r="B3" s="7"/>
      <c r="C3" s="7"/>
      <c r="D3" s="8"/>
      <c r="E3" s="8"/>
      <c r="F3" s="8"/>
      <c r="G3" s="8"/>
    </row>
    <row r="4" spans="1:7" ht="15.75">
      <c r="A4" s="8"/>
      <c r="B4" s="8"/>
      <c r="C4" s="8"/>
      <c r="D4" s="8"/>
      <c r="E4" s="8"/>
      <c r="F4" s="8"/>
      <c r="G4" s="8"/>
    </row>
    <row r="5" spans="1:7" ht="43.5">
      <c r="A5" s="32"/>
      <c r="B5" s="33" t="s">
        <v>25</v>
      </c>
      <c r="C5" s="33" t="s">
        <v>26</v>
      </c>
      <c r="D5" s="33" t="s">
        <v>27</v>
      </c>
      <c r="E5" s="33" t="s">
        <v>28</v>
      </c>
      <c r="F5" s="33" t="s">
        <v>29</v>
      </c>
      <c r="G5" s="8"/>
    </row>
    <row r="6" spans="1:7" ht="15.75">
      <c r="A6" s="8"/>
      <c r="B6" s="49"/>
      <c r="C6" s="41"/>
      <c r="D6" s="41"/>
      <c r="E6" s="41"/>
      <c r="F6" s="41"/>
      <c r="G6" s="8"/>
    </row>
    <row r="7" spans="1:7" ht="15.75">
      <c r="A7" s="11" t="s">
        <v>18</v>
      </c>
      <c r="B7" s="30">
        <v>942</v>
      </c>
      <c r="C7" s="30">
        <v>4571</v>
      </c>
      <c r="D7" s="30">
        <v>5471</v>
      </c>
      <c r="E7" s="30">
        <v>5824</v>
      </c>
      <c r="F7" s="30">
        <v>942</v>
      </c>
      <c r="G7" s="27"/>
    </row>
    <row r="8" spans="1:7" ht="15.75">
      <c r="A8" s="8"/>
      <c r="B8" s="18"/>
      <c r="C8" s="18"/>
      <c r="D8" s="18"/>
      <c r="E8" s="18"/>
      <c r="F8" s="18"/>
      <c r="G8" s="27"/>
    </row>
    <row r="9" spans="1:7" ht="15.75">
      <c r="A9" s="11" t="s">
        <v>1</v>
      </c>
      <c r="B9" s="18" t="s">
        <v>2</v>
      </c>
      <c r="C9" s="43"/>
      <c r="D9" s="43"/>
      <c r="E9" s="43"/>
      <c r="F9" s="18"/>
      <c r="G9" s="27"/>
    </row>
    <row r="10" spans="1:7" ht="15.75">
      <c r="A10" s="11" t="s">
        <v>17</v>
      </c>
      <c r="B10" s="14">
        <v>8323</v>
      </c>
      <c r="C10" s="44">
        <v>4912</v>
      </c>
      <c r="D10" s="44">
        <v>4151</v>
      </c>
      <c r="E10" s="44">
        <v>2953</v>
      </c>
      <c r="F10" s="35">
        <f aca="true" t="shared" si="0" ref="F10:F15">SUM(B10:E10)</f>
        <v>20339</v>
      </c>
      <c r="G10" s="27"/>
    </row>
    <row r="11" spans="1:7" ht="15.75">
      <c r="A11" s="11" t="s">
        <v>3</v>
      </c>
      <c r="B11" s="37">
        <v>1872</v>
      </c>
      <c r="C11" s="37">
        <v>1905</v>
      </c>
      <c r="D11" s="37">
        <v>1964</v>
      </c>
      <c r="E11" s="37">
        <v>1863</v>
      </c>
      <c r="F11" s="35">
        <f t="shared" si="0"/>
        <v>7604</v>
      </c>
      <c r="G11" s="27"/>
    </row>
    <row r="12" spans="1:7" ht="15.75">
      <c r="A12" s="11" t="s">
        <v>4</v>
      </c>
      <c r="B12" s="37">
        <v>1016</v>
      </c>
      <c r="C12" s="37">
        <v>1141</v>
      </c>
      <c r="D12" s="37">
        <v>1089</v>
      </c>
      <c r="E12" s="37">
        <v>1314</v>
      </c>
      <c r="F12" s="35">
        <f t="shared" si="0"/>
        <v>4560</v>
      </c>
      <c r="G12" s="27"/>
    </row>
    <row r="13" spans="1:7" ht="15.75">
      <c r="A13" s="11" t="s">
        <v>5</v>
      </c>
      <c r="B13" s="37">
        <v>245</v>
      </c>
      <c r="C13" s="37">
        <v>280</v>
      </c>
      <c r="D13" s="37">
        <v>284</v>
      </c>
      <c r="E13" s="37">
        <v>298</v>
      </c>
      <c r="F13" s="35">
        <f t="shared" si="0"/>
        <v>1107</v>
      </c>
      <c r="G13" s="27"/>
    </row>
    <row r="14" spans="1:7" ht="15.75">
      <c r="A14" s="11" t="s">
        <v>6</v>
      </c>
      <c r="B14" s="37">
        <v>316</v>
      </c>
      <c r="C14" s="37">
        <v>368</v>
      </c>
      <c r="D14" s="37">
        <v>557</v>
      </c>
      <c r="E14" s="37">
        <v>407</v>
      </c>
      <c r="F14" s="35">
        <f t="shared" si="0"/>
        <v>1648</v>
      </c>
      <c r="G14" s="27"/>
    </row>
    <row r="15" spans="1:7" ht="15.75">
      <c r="A15" s="11" t="s">
        <v>7</v>
      </c>
      <c r="B15" s="37">
        <v>559</v>
      </c>
      <c r="C15" s="37">
        <v>481</v>
      </c>
      <c r="D15" s="37">
        <v>611</v>
      </c>
      <c r="E15" s="37">
        <v>486</v>
      </c>
      <c r="F15" s="35">
        <f t="shared" si="0"/>
        <v>2137</v>
      </c>
      <c r="G15" s="27"/>
    </row>
    <row r="16" spans="1:7" ht="15.75">
      <c r="A16" s="8"/>
      <c r="B16" s="37" t="s">
        <v>54</v>
      </c>
      <c r="C16" s="14"/>
      <c r="D16" s="14"/>
      <c r="E16" s="37"/>
      <c r="F16" s="14"/>
      <c r="G16" s="27"/>
    </row>
    <row r="17" spans="1:7" ht="15.75">
      <c r="A17" s="11" t="s">
        <v>8</v>
      </c>
      <c r="B17" s="30">
        <v>12331</v>
      </c>
      <c r="C17" s="30">
        <v>9086</v>
      </c>
      <c r="D17" s="30">
        <v>8656</v>
      </c>
      <c r="E17" s="30">
        <v>7321</v>
      </c>
      <c r="F17" s="30">
        <v>37394</v>
      </c>
      <c r="G17" s="27"/>
    </row>
    <row r="18" spans="1:7" ht="15.75">
      <c r="A18" s="8"/>
      <c r="B18" s="37"/>
      <c r="C18" s="37"/>
      <c r="D18" s="37"/>
      <c r="E18" s="37"/>
      <c r="F18" s="37"/>
      <c r="G18" s="27"/>
    </row>
    <row r="19" spans="1:7" ht="15.75">
      <c r="A19" s="11" t="s">
        <v>9</v>
      </c>
      <c r="B19" s="37"/>
      <c r="C19" s="37"/>
      <c r="D19" s="37"/>
      <c r="E19" s="37"/>
      <c r="F19" s="37"/>
      <c r="G19" s="27"/>
    </row>
    <row r="20" spans="1:7" ht="15.75">
      <c r="A20" s="11" t="s">
        <v>10</v>
      </c>
      <c r="B20" s="37">
        <v>5479</v>
      </c>
      <c r="C20" s="37">
        <v>4675</v>
      </c>
      <c r="D20" s="37">
        <v>5681</v>
      </c>
      <c r="E20" s="37">
        <v>9801</v>
      </c>
      <c r="F20" s="35">
        <f>SUM(B20:E20)</f>
        <v>25636</v>
      </c>
      <c r="G20" s="27"/>
    </row>
    <row r="21" spans="1:7" ht="15.75">
      <c r="A21" s="11" t="s">
        <v>11</v>
      </c>
      <c r="B21" s="37">
        <v>1884</v>
      </c>
      <c r="C21" s="37">
        <v>1874</v>
      </c>
      <c r="D21" s="37">
        <v>1749</v>
      </c>
      <c r="E21" s="37">
        <v>1093</v>
      </c>
      <c r="F21" s="35">
        <f>SUM(B21:E21)</f>
        <v>6600</v>
      </c>
      <c r="G21" s="27"/>
    </row>
    <row r="22" spans="1:7" ht="15.75">
      <c r="A22" s="11" t="s">
        <v>12</v>
      </c>
      <c r="B22" s="37">
        <v>635</v>
      </c>
      <c r="C22" s="37">
        <v>777</v>
      </c>
      <c r="D22" s="37">
        <v>169</v>
      </c>
      <c r="E22" s="37">
        <v>506</v>
      </c>
      <c r="F22" s="35">
        <f>SUM(B22:E22)</f>
        <v>2087</v>
      </c>
      <c r="G22" s="27"/>
    </row>
    <row r="23" spans="1:7" ht="15.75">
      <c r="A23" s="11" t="s">
        <v>42</v>
      </c>
      <c r="B23" s="37">
        <v>1</v>
      </c>
      <c r="C23" s="37">
        <v>2</v>
      </c>
      <c r="D23" s="37">
        <v>1</v>
      </c>
      <c r="E23" s="37">
        <v>2</v>
      </c>
      <c r="F23" s="35">
        <f>SUM(B23:E23)</f>
        <v>6</v>
      </c>
      <c r="G23" s="27"/>
    </row>
    <row r="24" spans="1:7" ht="15.75">
      <c r="A24" s="11" t="s">
        <v>13</v>
      </c>
      <c r="B24" s="37">
        <v>703</v>
      </c>
      <c r="C24" s="37">
        <v>858</v>
      </c>
      <c r="D24" s="37">
        <v>703</v>
      </c>
      <c r="E24" s="37">
        <v>576</v>
      </c>
      <c r="F24" s="35">
        <f>SUM(B24:E24)</f>
        <v>2840</v>
      </c>
      <c r="G24" s="27"/>
    </row>
    <row r="25" spans="1:7" ht="15.75">
      <c r="A25" s="8"/>
      <c r="B25" s="10"/>
      <c r="C25" s="10"/>
      <c r="D25" s="10"/>
      <c r="E25" s="20"/>
      <c r="F25" s="20"/>
      <c r="G25" s="27"/>
    </row>
    <row r="26" spans="1:7" ht="15.75">
      <c r="A26" s="11" t="s">
        <v>14</v>
      </c>
      <c r="B26" s="30">
        <v>8702</v>
      </c>
      <c r="C26" s="30">
        <v>8186</v>
      </c>
      <c r="D26" s="30">
        <v>8303</v>
      </c>
      <c r="E26" s="30">
        <v>11978</v>
      </c>
      <c r="F26" s="30">
        <v>37169</v>
      </c>
      <c r="G26" s="27"/>
    </row>
    <row r="27" spans="1:7" ht="15.75">
      <c r="A27" s="8"/>
      <c r="B27" s="30"/>
      <c r="C27" s="30"/>
      <c r="D27" s="30"/>
      <c r="E27" s="30"/>
      <c r="F27" s="30"/>
      <c r="G27" s="27"/>
    </row>
    <row r="28" spans="1:7" ht="15.75">
      <c r="A28" s="11" t="s">
        <v>22</v>
      </c>
      <c r="B28" s="30">
        <f>(B17-B26)*1</f>
        <v>3629</v>
      </c>
      <c r="C28" s="30">
        <f>(C17-C26)*1</f>
        <v>900</v>
      </c>
      <c r="D28" s="30">
        <f>(D17-D26)*1</f>
        <v>353</v>
      </c>
      <c r="E28" s="30">
        <f>(E17-E26)*1</f>
        <v>-4657</v>
      </c>
      <c r="F28" s="30">
        <f>(F17-F26)*1</f>
        <v>225</v>
      </c>
      <c r="G28" s="27"/>
    </row>
    <row r="29" spans="1:7" ht="15.75">
      <c r="A29" s="8"/>
      <c r="B29" s="30"/>
      <c r="C29" s="30"/>
      <c r="D29" s="30"/>
      <c r="E29" s="30"/>
      <c r="F29" s="30"/>
      <c r="G29" s="27"/>
    </row>
    <row r="30" spans="1:7" ht="15.75">
      <c r="A30" s="11" t="s">
        <v>15</v>
      </c>
      <c r="B30" s="30">
        <v>4571</v>
      </c>
      <c r="C30" s="30">
        <v>5471</v>
      </c>
      <c r="D30" s="30">
        <v>5824</v>
      </c>
      <c r="E30" s="30">
        <v>1167</v>
      </c>
      <c r="F30" s="30">
        <v>1167</v>
      </c>
      <c r="G30" s="27"/>
    </row>
    <row r="31" spans="1:7" ht="15.75">
      <c r="A31" s="9"/>
      <c r="B31" s="22"/>
      <c r="C31" s="22"/>
      <c r="D31" s="22"/>
      <c r="E31" s="22"/>
      <c r="F31" s="22"/>
      <c r="G31" s="27"/>
    </row>
    <row r="32" spans="1:7" ht="15.75">
      <c r="A32" s="23" t="s">
        <v>63</v>
      </c>
      <c r="B32" s="24"/>
      <c r="C32" s="24"/>
      <c r="D32" s="24"/>
      <c r="E32" s="24"/>
      <c r="F32" s="24"/>
      <c r="G32" s="27"/>
    </row>
    <row r="33" spans="1:7" ht="15.75">
      <c r="A33" s="23"/>
      <c r="B33" s="24"/>
      <c r="C33" s="24"/>
      <c r="D33" s="24"/>
      <c r="E33" s="24"/>
      <c r="F33" s="24"/>
      <c r="G33" s="27"/>
    </row>
    <row r="34" spans="1:7" ht="33" customHeight="1">
      <c r="A34" s="40" t="s">
        <v>64</v>
      </c>
      <c r="B34" s="40"/>
      <c r="C34" s="40"/>
      <c r="D34" s="40"/>
      <c r="E34" s="40"/>
      <c r="F34" s="40"/>
      <c r="G34" s="27"/>
    </row>
    <row r="35" spans="1:7" ht="15.75">
      <c r="A35" s="8"/>
      <c r="B35" s="27"/>
      <c r="C35" s="27"/>
      <c r="D35" s="27"/>
      <c r="E35" s="27"/>
      <c r="F35" s="27"/>
      <c r="G35" s="27"/>
    </row>
    <row r="36" spans="1:7" ht="15.75">
      <c r="A36" s="7" t="s">
        <v>16</v>
      </c>
      <c r="B36" s="20"/>
      <c r="C36" s="20"/>
      <c r="D36" s="20"/>
      <c r="E36" s="27"/>
      <c r="F36" s="27"/>
      <c r="G36" s="27"/>
    </row>
    <row r="37" spans="1:7" ht="15.75">
      <c r="A37" s="7"/>
      <c r="B37" s="20"/>
      <c r="C37" s="20"/>
      <c r="D37" s="20"/>
      <c r="E37" s="27"/>
      <c r="F37" s="27"/>
      <c r="G37" s="27"/>
    </row>
    <row r="38" spans="1:7" ht="15.75">
      <c r="A38" s="7"/>
      <c r="B38" s="20"/>
      <c r="C38" s="20"/>
      <c r="D38" s="20"/>
      <c r="E38" s="27"/>
      <c r="F38" s="27"/>
      <c r="G38" s="27"/>
    </row>
    <row r="39" spans="1:7" ht="15.75">
      <c r="A39" s="8"/>
      <c r="B39" s="27"/>
      <c r="C39" s="27"/>
      <c r="D39" s="27"/>
      <c r="E39" s="27"/>
      <c r="F39" s="27"/>
      <c r="G39" s="27"/>
    </row>
  </sheetData>
  <sheetProtection/>
  <mergeCells count="1">
    <mergeCell ref="A34:F34"/>
  </mergeCells>
  <printOptions/>
  <pageMargins left="0.7" right="0.7" top="0.75" bottom="0.75" header="0.3" footer="0.3"/>
  <pageSetup fitToHeight="1" fitToWidth="1" horizontalDpi="600" verticalDpi="600" orientation="landscape" scale="88" r:id="rId1"/>
</worksheet>
</file>

<file path=xl/worksheets/sheet16.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selection activeCell="F1" sqref="F1"/>
    </sheetView>
  </sheetViews>
  <sheetFormatPr defaultColWidth="8.88671875" defaultRowHeight="15.75"/>
  <cols>
    <col min="1" max="1" width="39.77734375" style="0" customWidth="1"/>
    <col min="2" max="16384" width="13.77734375" style="0" customWidth="1"/>
  </cols>
  <sheetData>
    <row r="1" spans="1:8" ht="23.25">
      <c r="A1" s="28" t="s">
        <v>24</v>
      </c>
      <c r="B1" s="7"/>
      <c r="C1" s="7"/>
      <c r="D1" s="7"/>
      <c r="E1" s="8"/>
      <c r="G1" s="8"/>
      <c r="H1" s="8"/>
    </row>
    <row r="2" spans="1:8" ht="20.25">
      <c r="A2" s="28" t="s">
        <v>65</v>
      </c>
      <c r="B2" s="7"/>
      <c r="C2" s="7"/>
      <c r="D2" s="8"/>
      <c r="E2" s="8"/>
      <c r="F2" s="8"/>
      <c r="G2" s="8"/>
      <c r="H2" s="8"/>
    </row>
    <row r="3" spans="1:8" ht="20.25">
      <c r="A3" s="28" t="s">
        <v>0</v>
      </c>
      <c r="B3" s="7"/>
      <c r="C3" s="7"/>
      <c r="D3" s="8"/>
      <c r="E3" s="8"/>
      <c r="F3" s="8"/>
      <c r="G3" s="8"/>
      <c r="H3" s="8"/>
    </row>
    <row r="4" spans="1:8" ht="15.75">
      <c r="A4" s="8"/>
      <c r="B4" s="8"/>
      <c r="C4" s="8"/>
      <c r="D4" s="8"/>
      <c r="E4" s="8"/>
      <c r="F4" s="8"/>
      <c r="G4" s="8"/>
      <c r="H4" s="8"/>
    </row>
    <row r="5" spans="1:8" ht="43.5">
      <c r="A5" s="32"/>
      <c r="B5" s="33" t="s">
        <v>25</v>
      </c>
      <c r="C5" s="33" t="s">
        <v>26</v>
      </c>
      <c r="D5" s="33" t="s">
        <v>27</v>
      </c>
      <c r="E5" s="33" t="s">
        <v>28</v>
      </c>
      <c r="F5" s="33" t="s">
        <v>29</v>
      </c>
      <c r="G5" s="8"/>
      <c r="H5" s="8"/>
    </row>
    <row r="6" spans="1:8" ht="15.75">
      <c r="A6" s="8"/>
      <c r="B6" s="49"/>
      <c r="C6" s="41"/>
      <c r="D6" s="41"/>
      <c r="E6" s="41"/>
      <c r="F6" s="41"/>
      <c r="G6" s="8"/>
      <c r="H6" s="8"/>
    </row>
    <row r="7" spans="1:8" ht="15.75">
      <c r="A7" s="11" t="s">
        <v>18</v>
      </c>
      <c r="B7" s="30">
        <v>638</v>
      </c>
      <c r="C7" s="30">
        <v>3981</v>
      </c>
      <c r="D7" s="30">
        <v>5021</v>
      </c>
      <c r="E7" s="30">
        <v>5331</v>
      </c>
      <c r="F7" s="30">
        <v>638</v>
      </c>
      <c r="G7" s="27"/>
      <c r="H7" s="8"/>
    </row>
    <row r="8" spans="1:8" ht="15.75">
      <c r="A8" s="8"/>
      <c r="B8" s="18"/>
      <c r="C8" s="18"/>
      <c r="D8" s="18"/>
      <c r="E8" s="18"/>
      <c r="F8" s="18"/>
      <c r="G8" s="27"/>
      <c r="H8" s="8"/>
    </row>
    <row r="9" spans="1:8" ht="15.75">
      <c r="A9" s="11" t="s">
        <v>1</v>
      </c>
      <c r="B9" s="18" t="s">
        <v>2</v>
      </c>
      <c r="C9" s="43"/>
      <c r="D9" s="43"/>
      <c r="E9" s="43"/>
      <c r="F9" s="18"/>
      <c r="G9" s="27"/>
      <c r="H9" s="8"/>
    </row>
    <row r="10" spans="1:8" ht="15.75">
      <c r="A10" s="11" t="s">
        <v>17</v>
      </c>
      <c r="B10" s="14">
        <v>7823</v>
      </c>
      <c r="C10" s="44">
        <v>4548</v>
      </c>
      <c r="D10" s="44">
        <v>4130</v>
      </c>
      <c r="E10" s="44">
        <v>3579</v>
      </c>
      <c r="F10" s="35">
        <v>20080</v>
      </c>
      <c r="G10" s="27"/>
      <c r="H10" s="8"/>
    </row>
    <row r="11" spans="1:8" ht="15.75">
      <c r="A11" s="11" t="s">
        <v>3</v>
      </c>
      <c r="B11" s="37">
        <v>1868</v>
      </c>
      <c r="C11" s="37">
        <v>1848</v>
      </c>
      <c r="D11" s="37">
        <v>1813</v>
      </c>
      <c r="E11" s="37">
        <v>1714</v>
      </c>
      <c r="F11" s="37">
        <v>7243</v>
      </c>
      <c r="G11" s="27"/>
      <c r="H11" s="8"/>
    </row>
    <row r="12" spans="1:8" ht="15.75">
      <c r="A12" s="11" t="s">
        <v>4</v>
      </c>
      <c r="B12" s="37">
        <v>1121</v>
      </c>
      <c r="C12" s="37">
        <v>1163</v>
      </c>
      <c r="D12" s="37">
        <v>1170</v>
      </c>
      <c r="E12" s="37">
        <v>1403</v>
      </c>
      <c r="F12" s="37">
        <v>4857</v>
      </c>
      <c r="G12" s="27"/>
      <c r="H12" s="8"/>
    </row>
    <row r="13" spans="1:8" ht="15.75">
      <c r="A13" s="11" t="s">
        <v>5</v>
      </c>
      <c r="B13" s="37">
        <v>256</v>
      </c>
      <c r="C13" s="37">
        <v>320</v>
      </c>
      <c r="D13" s="37">
        <v>271</v>
      </c>
      <c r="E13" s="37">
        <v>291</v>
      </c>
      <c r="F13" s="37">
        <v>1138</v>
      </c>
      <c r="G13" s="27"/>
      <c r="H13" s="8"/>
    </row>
    <row r="14" spans="1:8" ht="15.75">
      <c r="A14" s="11" t="s">
        <v>6</v>
      </c>
      <c r="B14" s="37">
        <v>332</v>
      </c>
      <c r="C14" s="37">
        <v>390</v>
      </c>
      <c r="D14" s="37">
        <v>416</v>
      </c>
      <c r="E14" s="37">
        <v>367</v>
      </c>
      <c r="F14" s="37">
        <v>1505</v>
      </c>
      <c r="G14" s="27"/>
      <c r="H14" s="8"/>
    </row>
    <row r="15" spans="1:8" ht="15.75">
      <c r="A15" s="11" t="s">
        <v>7</v>
      </c>
      <c r="B15" s="37">
        <v>524</v>
      </c>
      <c r="C15" s="37">
        <v>466</v>
      </c>
      <c r="D15" s="37">
        <v>550</v>
      </c>
      <c r="E15" s="37">
        <v>377</v>
      </c>
      <c r="F15" s="37">
        <v>1917</v>
      </c>
      <c r="G15" s="27"/>
      <c r="H15" s="8"/>
    </row>
    <row r="16" spans="1:8" ht="15.75">
      <c r="A16" s="8"/>
      <c r="B16" s="37" t="s">
        <v>54</v>
      </c>
      <c r="C16" s="14"/>
      <c r="D16" s="14"/>
      <c r="E16" s="37"/>
      <c r="F16" s="14"/>
      <c r="G16" s="27"/>
      <c r="H16" s="8"/>
    </row>
    <row r="17" spans="1:8" ht="15.75">
      <c r="A17" s="11" t="s">
        <v>8</v>
      </c>
      <c r="B17" s="30">
        <v>11924</v>
      </c>
      <c r="C17" s="30">
        <v>8725</v>
      </c>
      <c r="D17" s="30">
        <v>8350</v>
      </c>
      <c r="E17" s="30">
        <v>7732</v>
      </c>
      <c r="F17" s="30">
        <v>36741</v>
      </c>
      <c r="G17" s="27"/>
      <c r="H17" s="8"/>
    </row>
    <row r="18" spans="1:8" ht="15.75">
      <c r="A18" s="8"/>
      <c r="B18" s="37"/>
      <c r="C18" s="37"/>
      <c r="D18" s="37"/>
      <c r="E18" s="37"/>
      <c r="F18" s="37"/>
      <c r="G18" s="27"/>
      <c r="H18" s="8"/>
    </row>
    <row r="19" spans="1:8" ht="15.75">
      <c r="A19" s="11" t="s">
        <v>9</v>
      </c>
      <c r="B19" s="37"/>
      <c r="C19" s="37"/>
      <c r="D19" s="37"/>
      <c r="E19" s="37"/>
      <c r="F19" s="37"/>
      <c r="G19" s="27"/>
      <c r="H19" s="8"/>
    </row>
    <row r="20" spans="1:8" ht="15.75">
      <c r="A20" s="11" t="s">
        <v>10</v>
      </c>
      <c r="B20" s="37">
        <v>5260</v>
      </c>
      <c r="C20" s="37">
        <v>4499</v>
      </c>
      <c r="D20" s="37">
        <v>5133</v>
      </c>
      <c r="E20" s="37">
        <v>9802</v>
      </c>
      <c r="F20" s="37">
        <v>24694</v>
      </c>
      <c r="G20" s="27"/>
      <c r="H20" s="8"/>
    </row>
    <row r="21" spans="1:8" ht="15.75">
      <c r="A21" s="11" t="s">
        <v>11</v>
      </c>
      <c r="B21" s="37">
        <v>1967</v>
      </c>
      <c r="C21" s="37">
        <v>1732</v>
      </c>
      <c r="D21" s="37">
        <v>1742</v>
      </c>
      <c r="E21" s="37">
        <v>1231</v>
      </c>
      <c r="F21" s="37">
        <v>6672</v>
      </c>
      <c r="G21" s="27"/>
      <c r="H21" s="8"/>
    </row>
    <row r="22" spans="1:8" ht="15.75">
      <c r="A22" s="11" t="s">
        <v>12</v>
      </c>
      <c r="B22" s="37">
        <v>633</v>
      </c>
      <c r="C22" s="37">
        <v>724</v>
      </c>
      <c r="D22" s="37">
        <v>481</v>
      </c>
      <c r="E22" s="37">
        <v>421</v>
      </c>
      <c r="F22" s="37">
        <v>2259</v>
      </c>
      <c r="G22" s="27"/>
      <c r="H22" s="8"/>
    </row>
    <row r="23" spans="1:8" ht="15.75">
      <c r="A23" s="11" t="s">
        <v>42</v>
      </c>
      <c r="B23" s="37">
        <v>1</v>
      </c>
      <c r="C23" s="37">
        <v>3</v>
      </c>
      <c r="D23" s="37">
        <v>3</v>
      </c>
      <c r="E23" s="37">
        <v>2</v>
      </c>
      <c r="F23" s="37">
        <v>9</v>
      </c>
      <c r="G23" s="27"/>
      <c r="H23" s="8"/>
    </row>
    <row r="24" spans="1:8" ht="15.75">
      <c r="A24" s="11" t="s">
        <v>13</v>
      </c>
      <c r="B24" s="37">
        <v>720</v>
      </c>
      <c r="C24" s="37">
        <v>737</v>
      </c>
      <c r="D24" s="37">
        <v>681</v>
      </c>
      <c r="E24" s="37">
        <v>716</v>
      </c>
      <c r="F24" s="37">
        <v>2854</v>
      </c>
      <c r="G24" s="27"/>
      <c r="H24" s="8"/>
    </row>
    <row r="25" spans="1:8" ht="15.75">
      <c r="A25" s="8"/>
      <c r="B25" s="10"/>
      <c r="C25" s="10"/>
      <c r="D25" s="10"/>
      <c r="E25" s="20"/>
      <c r="F25" s="20"/>
      <c r="G25" s="27"/>
      <c r="H25" s="8"/>
    </row>
    <row r="26" spans="1:8" ht="15.75">
      <c r="A26" s="11" t="s">
        <v>14</v>
      </c>
      <c r="B26" s="30">
        <v>8581</v>
      </c>
      <c r="C26" s="30">
        <v>7695</v>
      </c>
      <c r="D26" s="30">
        <v>8040</v>
      </c>
      <c r="E26" s="30">
        <v>12171</v>
      </c>
      <c r="F26" s="30">
        <v>36487</v>
      </c>
      <c r="G26" s="27"/>
      <c r="H26" s="8"/>
    </row>
    <row r="27" spans="1:8" ht="15.75">
      <c r="A27" s="8"/>
      <c r="B27" s="30"/>
      <c r="C27" s="30"/>
      <c r="D27" s="30"/>
      <c r="E27" s="30"/>
      <c r="F27" s="30"/>
      <c r="G27" s="27"/>
      <c r="H27" s="8"/>
    </row>
    <row r="28" spans="1:8" ht="15.75">
      <c r="A28" s="11" t="s">
        <v>22</v>
      </c>
      <c r="B28" s="30">
        <f>(B17-B26)*1</f>
        <v>3343</v>
      </c>
      <c r="C28" s="30">
        <v>1040</v>
      </c>
      <c r="D28" s="30">
        <f>(D17-D26)*1</f>
        <v>310</v>
      </c>
      <c r="E28" s="30">
        <v>-4439</v>
      </c>
      <c r="F28" s="30">
        <f>(F17-F26)*1</f>
        <v>254</v>
      </c>
      <c r="G28" s="27"/>
      <c r="H28" s="8"/>
    </row>
    <row r="29" spans="1:8" ht="15.75">
      <c r="A29" s="8"/>
      <c r="B29" s="30"/>
      <c r="C29" s="30"/>
      <c r="D29" s="30"/>
      <c r="E29" s="30"/>
      <c r="F29" s="30"/>
      <c r="G29" s="27"/>
      <c r="H29" s="8"/>
    </row>
    <row r="30" spans="1:8" ht="15.75">
      <c r="A30" s="11" t="s">
        <v>15</v>
      </c>
      <c r="B30" s="30">
        <v>3981</v>
      </c>
      <c r="C30" s="30">
        <v>5021</v>
      </c>
      <c r="D30" s="30">
        <v>5331</v>
      </c>
      <c r="E30" s="30">
        <v>892</v>
      </c>
      <c r="F30" s="30">
        <v>892</v>
      </c>
      <c r="G30" s="27"/>
      <c r="H30" s="8"/>
    </row>
    <row r="31" spans="1:8" ht="15.75">
      <c r="A31" s="9"/>
      <c r="B31" s="22"/>
      <c r="C31" s="22"/>
      <c r="D31" s="22"/>
      <c r="E31" s="22"/>
      <c r="F31" s="22"/>
      <c r="G31" s="27"/>
      <c r="H31" s="8"/>
    </row>
    <row r="32" spans="1:8" ht="38.25" customHeight="1">
      <c r="A32" s="40" t="s">
        <v>64</v>
      </c>
      <c r="B32" s="40"/>
      <c r="C32" s="40"/>
      <c r="D32" s="40"/>
      <c r="E32" s="40"/>
      <c r="F32" s="40"/>
      <c r="G32" s="27"/>
      <c r="H32" s="8"/>
    </row>
    <row r="33" spans="1:8" ht="15.75">
      <c r="A33" s="8"/>
      <c r="B33" s="27"/>
      <c r="C33" s="27"/>
      <c r="D33" s="27"/>
      <c r="E33" s="27"/>
      <c r="F33" s="27"/>
      <c r="G33" s="27"/>
      <c r="H33" s="8"/>
    </row>
    <row r="34" spans="1:8" ht="15.75">
      <c r="A34" s="7" t="s">
        <v>16</v>
      </c>
      <c r="B34" s="20"/>
      <c r="C34" s="20"/>
      <c r="D34" s="20"/>
      <c r="E34" s="27"/>
      <c r="F34" s="27"/>
      <c r="G34" s="27"/>
      <c r="H34" s="8"/>
    </row>
    <row r="35" spans="1:8" ht="15.75">
      <c r="A35" s="7"/>
      <c r="B35" s="20"/>
      <c r="C35" s="20"/>
      <c r="D35" s="20"/>
      <c r="E35" s="27"/>
      <c r="F35" s="27"/>
      <c r="G35" s="27"/>
      <c r="H35" s="8"/>
    </row>
    <row r="36" spans="1:8" ht="15.75">
      <c r="A36" s="7"/>
      <c r="B36" s="20"/>
      <c r="C36" s="20"/>
      <c r="D36" s="20"/>
      <c r="E36" s="27"/>
      <c r="F36" s="27"/>
      <c r="G36" s="27"/>
      <c r="H36" s="8"/>
    </row>
    <row r="37" spans="1:8" ht="15.75">
      <c r="A37" s="8"/>
      <c r="B37" s="27"/>
      <c r="C37" s="27"/>
      <c r="D37" s="27"/>
      <c r="E37" s="27"/>
      <c r="F37" s="27"/>
      <c r="G37" s="27"/>
      <c r="H37" s="8"/>
    </row>
    <row r="38" spans="1:8" ht="15.75">
      <c r="A38" s="8"/>
      <c r="B38" s="27"/>
      <c r="C38" s="27"/>
      <c r="D38" s="27"/>
      <c r="E38" s="27"/>
      <c r="F38" s="27"/>
      <c r="G38" s="27"/>
      <c r="H38" s="8"/>
    </row>
    <row r="39" spans="1:8" ht="15.75">
      <c r="A39" s="8"/>
      <c r="B39" s="27"/>
      <c r="C39" s="27"/>
      <c r="D39" s="27"/>
      <c r="E39" s="27"/>
      <c r="F39" s="27"/>
      <c r="G39" s="27"/>
      <c r="H39" s="8"/>
    </row>
    <row r="40" spans="1:8" ht="15.75">
      <c r="A40" s="8"/>
      <c r="B40" s="27"/>
      <c r="C40" s="27"/>
      <c r="D40" s="27"/>
      <c r="E40" s="27"/>
      <c r="F40" s="27"/>
      <c r="G40" s="27"/>
      <c r="H40" s="8"/>
    </row>
    <row r="41" spans="1:8" ht="15.75">
      <c r="A41" s="8"/>
      <c r="B41" s="27"/>
      <c r="C41" s="27"/>
      <c r="D41" s="27"/>
      <c r="E41" s="27"/>
      <c r="F41" s="27"/>
      <c r="G41" s="27"/>
      <c r="H41" s="8"/>
    </row>
    <row r="42" spans="1:8" ht="15.75">
      <c r="A42" s="8"/>
      <c r="B42" s="27"/>
      <c r="C42" s="27"/>
      <c r="D42" s="27"/>
      <c r="E42" s="27"/>
      <c r="F42" s="27"/>
      <c r="G42" s="27"/>
      <c r="H42" s="8"/>
    </row>
    <row r="43" spans="1:8" ht="15.75">
      <c r="A43" s="8"/>
      <c r="B43" s="27"/>
      <c r="C43" s="27"/>
      <c r="D43" s="27"/>
      <c r="E43" s="27"/>
      <c r="F43" s="27"/>
      <c r="G43" s="27"/>
      <c r="H43" s="8"/>
    </row>
    <row r="44" spans="1:8" ht="15.75">
      <c r="A44" s="8"/>
      <c r="B44" s="27"/>
      <c r="C44" s="27"/>
      <c r="D44" s="27"/>
      <c r="E44" s="27"/>
      <c r="F44" s="27"/>
      <c r="G44" s="27"/>
      <c r="H44" s="8"/>
    </row>
  </sheetData>
  <sheetProtection/>
  <mergeCells count="1">
    <mergeCell ref="A32:F32"/>
  </mergeCells>
  <printOptions/>
  <pageMargins left="0.7" right="0.7" top="0.75" bottom="0.75" header="0.3" footer="0.3"/>
  <pageSetup fitToHeight="1" fitToWidth="1" horizontalDpi="600" verticalDpi="600" orientation="landscape" scale="92" r:id="rId1"/>
</worksheet>
</file>

<file path=xl/worksheets/sheet17.xml><?xml version="1.0" encoding="utf-8"?>
<worksheet xmlns="http://schemas.openxmlformats.org/spreadsheetml/2006/main" xmlns:r="http://schemas.openxmlformats.org/officeDocument/2006/relationships">
  <sheetPr>
    <pageSetUpPr fitToPage="1"/>
  </sheetPr>
  <dimension ref="A1:G38"/>
  <sheetViews>
    <sheetView zoomScalePageLayoutView="0" workbookViewId="0" topLeftCell="A1">
      <selection activeCell="F1" sqref="F1"/>
    </sheetView>
  </sheetViews>
  <sheetFormatPr defaultColWidth="8.88671875" defaultRowHeight="15.75"/>
  <cols>
    <col min="1" max="1" width="39.77734375" style="0" customWidth="1"/>
    <col min="2" max="16384" width="13.77734375" style="0" customWidth="1"/>
  </cols>
  <sheetData>
    <row r="1" spans="1:7" ht="23.25">
      <c r="A1" s="28" t="s">
        <v>24</v>
      </c>
      <c r="B1" s="7"/>
      <c r="C1" s="7"/>
      <c r="D1" s="7"/>
      <c r="E1" s="8"/>
      <c r="F1" s="30"/>
      <c r="G1" s="8"/>
    </row>
    <row r="2" spans="1:7" ht="20.25">
      <c r="A2" s="28" t="s">
        <v>67</v>
      </c>
      <c r="B2" s="7"/>
      <c r="C2" s="7"/>
      <c r="D2" s="8"/>
      <c r="E2" s="8"/>
      <c r="F2" s="8"/>
      <c r="G2" s="8"/>
    </row>
    <row r="3" spans="1:7" ht="20.25">
      <c r="A3" s="28" t="s">
        <v>0</v>
      </c>
      <c r="B3" s="7"/>
      <c r="C3" s="7"/>
      <c r="D3" s="8"/>
      <c r="E3" s="8"/>
      <c r="F3" s="8"/>
      <c r="G3" s="8"/>
    </row>
    <row r="4" spans="1:7" ht="15.75">
      <c r="A4" s="8"/>
      <c r="B4" s="8"/>
      <c r="C4" s="8"/>
      <c r="D4" s="8"/>
      <c r="E4" s="8"/>
      <c r="F4" s="8"/>
      <c r="G4" s="8"/>
    </row>
    <row r="5" spans="1:7" ht="43.5">
      <c r="A5" s="32"/>
      <c r="B5" s="33" t="s">
        <v>25</v>
      </c>
      <c r="C5" s="33" t="s">
        <v>26</v>
      </c>
      <c r="D5" s="33" t="s">
        <v>27</v>
      </c>
      <c r="E5" s="33" t="s">
        <v>28</v>
      </c>
      <c r="F5" s="33" t="s">
        <v>29</v>
      </c>
      <c r="G5" s="8"/>
    </row>
    <row r="6" spans="1:7" ht="15.75">
      <c r="A6" s="8"/>
      <c r="B6" s="49"/>
      <c r="C6" s="41"/>
      <c r="D6" s="41"/>
      <c r="E6" s="41"/>
      <c r="F6" s="41"/>
      <c r="G6" s="8"/>
    </row>
    <row r="7" spans="1:7" ht="15.75">
      <c r="A7" s="11" t="s">
        <v>18</v>
      </c>
      <c r="B7" s="30">
        <v>433</v>
      </c>
      <c r="C7" s="30">
        <v>2340</v>
      </c>
      <c r="D7" s="30">
        <v>3222</v>
      </c>
      <c r="E7" s="30">
        <v>3899</v>
      </c>
      <c r="F7" s="30">
        <v>433</v>
      </c>
      <c r="G7" s="27"/>
    </row>
    <row r="8" spans="1:7" ht="15.75">
      <c r="A8" s="8"/>
      <c r="B8" s="18"/>
      <c r="C8" s="18"/>
      <c r="D8" s="18"/>
      <c r="E8" s="18"/>
      <c r="F8" s="18"/>
      <c r="G8" s="27"/>
    </row>
    <row r="9" spans="1:7" ht="15.75">
      <c r="A9" s="11" t="s">
        <v>1</v>
      </c>
      <c r="B9" s="18" t="s">
        <v>2</v>
      </c>
      <c r="C9" s="43"/>
      <c r="D9" s="43"/>
      <c r="E9" s="43"/>
      <c r="F9" s="18"/>
      <c r="G9" s="27"/>
    </row>
    <row r="10" spans="1:7" ht="15.75">
      <c r="A10" s="11" t="s">
        <v>17</v>
      </c>
      <c r="B10" s="30">
        <v>6217</v>
      </c>
      <c r="C10" s="30">
        <v>4106</v>
      </c>
      <c r="D10" s="30">
        <v>4391</v>
      </c>
      <c r="E10" s="30">
        <v>3045</v>
      </c>
      <c r="F10" s="30">
        <v>17759</v>
      </c>
      <c r="G10" s="27"/>
    </row>
    <row r="11" spans="1:7" ht="15.75">
      <c r="A11" s="11" t="s">
        <v>3</v>
      </c>
      <c r="B11" s="37">
        <v>1764</v>
      </c>
      <c r="C11" s="37">
        <v>1829</v>
      </c>
      <c r="D11" s="37">
        <v>1780</v>
      </c>
      <c r="E11" s="37">
        <v>1663</v>
      </c>
      <c r="F11" s="37">
        <v>7036</v>
      </c>
      <c r="G11" s="27"/>
    </row>
    <row r="12" spans="1:7" ht="15.75">
      <c r="A12" s="11" t="s">
        <v>4</v>
      </c>
      <c r="B12" s="37">
        <v>1196</v>
      </c>
      <c r="C12" s="37">
        <v>1215</v>
      </c>
      <c r="D12" s="37">
        <v>1175</v>
      </c>
      <c r="E12" s="37">
        <v>1461</v>
      </c>
      <c r="F12" s="37">
        <v>5047</v>
      </c>
      <c r="G12" s="27"/>
    </row>
    <row r="13" spans="1:7" ht="15.75">
      <c r="A13" s="11" t="s">
        <v>5</v>
      </c>
      <c r="B13" s="37">
        <v>314</v>
      </c>
      <c r="C13" s="37">
        <v>307</v>
      </c>
      <c r="D13" s="37">
        <v>225</v>
      </c>
      <c r="E13" s="37">
        <v>248</v>
      </c>
      <c r="F13" s="37">
        <v>1094</v>
      </c>
      <c r="G13" s="27"/>
    </row>
    <row r="14" spans="1:7" ht="15.75">
      <c r="A14" s="11" t="s">
        <v>6</v>
      </c>
      <c r="B14" s="37">
        <v>299</v>
      </c>
      <c r="C14" s="37">
        <v>474</v>
      </c>
      <c r="D14" s="37">
        <v>392</v>
      </c>
      <c r="E14" s="37">
        <v>433</v>
      </c>
      <c r="F14" s="37">
        <v>1598</v>
      </c>
      <c r="G14" s="27"/>
    </row>
    <row r="15" spans="1:7" ht="15.75">
      <c r="A15" s="11" t="s">
        <v>7</v>
      </c>
      <c r="B15" s="37">
        <v>476</v>
      </c>
      <c r="C15" s="37">
        <v>613</v>
      </c>
      <c r="D15" s="37">
        <v>526</v>
      </c>
      <c r="E15" s="37">
        <v>403</v>
      </c>
      <c r="F15" s="37">
        <v>2018</v>
      </c>
      <c r="G15" s="27"/>
    </row>
    <row r="16" spans="1:7" ht="15.75">
      <c r="A16" s="8"/>
      <c r="B16" s="37" t="s">
        <v>54</v>
      </c>
      <c r="C16" s="37"/>
      <c r="D16" s="37"/>
      <c r="E16" s="37"/>
      <c r="F16" s="37"/>
      <c r="G16" s="27"/>
    </row>
    <row r="17" spans="1:7" ht="15.75">
      <c r="A17" s="11" t="s">
        <v>8</v>
      </c>
      <c r="B17" s="37">
        <f>SUM(B11:B15)+6217</f>
        <v>10266</v>
      </c>
      <c r="C17" s="37">
        <f>SUM(C11:C15)+4106</f>
        <v>8544</v>
      </c>
      <c r="D17" s="37">
        <f>SUM(D11:D15)+4391</f>
        <v>8489</v>
      </c>
      <c r="E17" s="37">
        <f>SUM(E11:E15)+3045</f>
        <v>7253</v>
      </c>
      <c r="F17" s="37">
        <f>SUM(F11:F15)+17759</f>
        <v>34552</v>
      </c>
      <c r="G17" s="27"/>
    </row>
    <row r="18" spans="1:7" ht="15.75">
      <c r="A18" s="8"/>
      <c r="B18" s="37"/>
      <c r="C18" s="37"/>
      <c r="D18" s="37"/>
      <c r="E18" s="37"/>
      <c r="F18" s="37"/>
      <c r="G18" s="27"/>
    </row>
    <row r="19" spans="1:7" ht="15.75">
      <c r="A19" s="11" t="s">
        <v>9</v>
      </c>
      <c r="B19" s="37"/>
      <c r="C19" s="37"/>
      <c r="D19" s="37"/>
      <c r="E19" s="37"/>
      <c r="F19" s="37"/>
      <c r="G19" s="27"/>
    </row>
    <row r="20" spans="1:7" ht="15.75">
      <c r="A20" s="11" t="s">
        <v>10</v>
      </c>
      <c r="B20" s="37">
        <v>5108</v>
      </c>
      <c r="C20" s="37">
        <v>4573</v>
      </c>
      <c r="D20" s="37">
        <v>5000</v>
      </c>
      <c r="E20" s="37">
        <v>8585</v>
      </c>
      <c r="F20" s="37">
        <v>23266</v>
      </c>
      <c r="G20" s="27"/>
    </row>
    <row r="21" spans="1:7" ht="15.75">
      <c r="A21" s="11" t="s">
        <v>11</v>
      </c>
      <c r="B21" s="37">
        <v>1939</v>
      </c>
      <c r="C21" s="37">
        <v>1488</v>
      </c>
      <c r="D21" s="37">
        <v>1762</v>
      </c>
      <c r="E21" s="37">
        <v>1004</v>
      </c>
      <c r="F21" s="37">
        <v>6193</v>
      </c>
      <c r="G21" s="27"/>
    </row>
    <row r="22" spans="1:7" ht="15.75">
      <c r="A22" s="11" t="s">
        <v>12</v>
      </c>
      <c r="B22" s="37">
        <v>606</v>
      </c>
      <c r="C22" s="37">
        <v>839</v>
      </c>
      <c r="D22" s="37">
        <v>459</v>
      </c>
      <c r="E22" s="37">
        <v>361</v>
      </c>
      <c r="F22" s="37">
        <v>2265</v>
      </c>
      <c r="G22" s="27"/>
    </row>
    <row r="23" spans="1:7" ht="15.75">
      <c r="A23" s="11" t="s">
        <v>42</v>
      </c>
      <c r="B23" s="37">
        <v>2</v>
      </c>
      <c r="C23" s="37">
        <v>3</v>
      </c>
      <c r="D23" s="37">
        <v>2</v>
      </c>
      <c r="E23" s="37">
        <v>3</v>
      </c>
      <c r="F23" s="37">
        <v>10</v>
      </c>
      <c r="G23" s="27"/>
    </row>
    <row r="24" spans="1:7" ht="15.75">
      <c r="A24" s="11" t="s">
        <v>13</v>
      </c>
      <c r="B24" s="37">
        <v>704</v>
      </c>
      <c r="C24" s="37">
        <v>759</v>
      </c>
      <c r="D24" s="37">
        <v>589</v>
      </c>
      <c r="E24" s="37">
        <v>561</v>
      </c>
      <c r="F24" s="37">
        <v>2613</v>
      </c>
      <c r="G24" s="27"/>
    </row>
    <row r="25" spans="1:7" ht="15.75">
      <c r="A25" s="8"/>
      <c r="B25" s="37"/>
      <c r="C25" s="37"/>
      <c r="D25" s="37"/>
      <c r="E25" s="37"/>
      <c r="F25" s="37"/>
      <c r="G25" s="27"/>
    </row>
    <row r="26" spans="1:7" ht="15.75">
      <c r="A26" s="11" t="s">
        <v>14</v>
      </c>
      <c r="B26" s="37">
        <f>SUM(B20:B24)</f>
        <v>8359</v>
      </c>
      <c r="C26" s="37">
        <f>SUM(C20:C24)</f>
        <v>7662</v>
      </c>
      <c r="D26" s="37">
        <f>SUM(D20:D24)</f>
        <v>7812</v>
      </c>
      <c r="E26" s="37">
        <f>SUM(E20:E24)</f>
        <v>10514</v>
      </c>
      <c r="F26" s="37">
        <f>SUM(F20:F24)</f>
        <v>34347</v>
      </c>
      <c r="G26" s="27"/>
    </row>
    <row r="27" spans="1:7" ht="15.75">
      <c r="A27" s="8"/>
      <c r="B27" s="37"/>
      <c r="C27" s="37"/>
      <c r="D27" s="37"/>
      <c r="E27" s="37"/>
      <c r="F27" s="37"/>
      <c r="G27" s="27"/>
    </row>
    <row r="28" spans="1:7" ht="15.75">
      <c r="A28" s="11" t="s">
        <v>22</v>
      </c>
      <c r="B28" s="37">
        <f>B17-B26</f>
        <v>1907</v>
      </c>
      <c r="C28" s="37">
        <f>C17-C26</f>
        <v>882</v>
      </c>
      <c r="D28" s="37">
        <f>D17-D26</f>
        <v>677</v>
      </c>
      <c r="E28" s="37" t="s">
        <v>66</v>
      </c>
      <c r="F28" s="37">
        <f>F17-F26</f>
        <v>205</v>
      </c>
      <c r="G28" s="27"/>
    </row>
    <row r="29" spans="1:7" ht="15.75">
      <c r="A29" s="8"/>
      <c r="B29" s="37"/>
      <c r="C29" s="37"/>
      <c r="D29" s="37"/>
      <c r="E29" s="37"/>
      <c r="F29" s="37"/>
      <c r="G29" s="27"/>
    </row>
    <row r="30" spans="1:7" ht="15.75">
      <c r="A30" s="11" t="s">
        <v>15</v>
      </c>
      <c r="B30" s="37">
        <f>B28+433</f>
        <v>2340</v>
      </c>
      <c r="C30" s="37">
        <f>C28+2340</f>
        <v>3222</v>
      </c>
      <c r="D30" s="37">
        <f>D28+3222</f>
        <v>3899</v>
      </c>
      <c r="E30" s="37">
        <f>-3261+3899</f>
        <v>638</v>
      </c>
      <c r="F30" s="37">
        <f>F28+433</f>
        <v>638</v>
      </c>
      <c r="G30" s="27"/>
    </row>
    <row r="31" spans="1:7" ht="15.75">
      <c r="A31" s="9"/>
      <c r="B31" s="22"/>
      <c r="C31" s="22"/>
      <c r="D31" s="22"/>
      <c r="E31" s="22"/>
      <c r="F31" s="22"/>
      <c r="G31" s="27"/>
    </row>
    <row r="32" spans="1:7" ht="36" customHeight="1">
      <c r="A32" s="40" t="s">
        <v>64</v>
      </c>
      <c r="B32" s="40"/>
      <c r="C32" s="40"/>
      <c r="D32" s="40"/>
      <c r="E32" s="40"/>
      <c r="F32" s="40"/>
      <c r="G32" s="27"/>
    </row>
    <row r="33" spans="1:7" ht="15.75">
      <c r="A33" s="8"/>
      <c r="B33" s="27"/>
      <c r="C33" s="27"/>
      <c r="D33" s="27"/>
      <c r="E33" s="27"/>
      <c r="F33" s="27"/>
      <c r="G33" s="27"/>
    </row>
    <row r="34" spans="1:7" ht="15.75">
      <c r="A34" s="7" t="s">
        <v>16</v>
      </c>
      <c r="B34" s="20"/>
      <c r="C34" s="20"/>
      <c r="D34" s="20"/>
      <c r="E34" s="27"/>
      <c r="F34" s="27"/>
      <c r="G34" s="27"/>
    </row>
    <row r="35" spans="1:7" ht="15.75">
      <c r="A35" s="7"/>
      <c r="B35" s="20"/>
      <c r="C35" s="20"/>
      <c r="D35" s="20"/>
      <c r="E35" s="27"/>
      <c r="F35" s="27"/>
      <c r="G35" s="27"/>
    </row>
    <row r="36" spans="1:7" ht="15.75">
      <c r="A36" s="7"/>
      <c r="B36" s="20"/>
      <c r="C36" s="20"/>
      <c r="D36" s="20"/>
      <c r="E36" s="27"/>
      <c r="F36" s="27"/>
      <c r="G36" s="27"/>
    </row>
    <row r="37" spans="1:7" ht="15.75">
      <c r="A37" s="8"/>
      <c r="B37" s="27"/>
      <c r="C37" s="27"/>
      <c r="D37" s="27"/>
      <c r="E37" s="27"/>
      <c r="F37" s="27"/>
      <c r="G37" s="27"/>
    </row>
    <row r="38" spans="1:7" ht="15.75">
      <c r="A38" s="8"/>
      <c r="B38" s="27"/>
      <c r="C38" s="27"/>
      <c r="D38" s="27"/>
      <c r="E38" s="27"/>
      <c r="F38" s="27"/>
      <c r="G38" s="27"/>
    </row>
  </sheetData>
  <sheetProtection/>
  <mergeCells count="1">
    <mergeCell ref="A32:F32"/>
  </mergeCells>
  <printOptions/>
  <pageMargins left="0.7" right="0.7" top="0.75" bottom="0.75" header="0.3" footer="0.3"/>
  <pageSetup fitToHeight="1" fitToWidth="1"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28" sqref="A28"/>
    </sheetView>
  </sheetViews>
  <sheetFormatPr defaultColWidth="8.88671875" defaultRowHeight="15.75"/>
  <cols>
    <col min="1" max="1" width="39.77734375" style="0" customWidth="1"/>
    <col min="2" max="16384" width="13.77734375" style="0" customWidth="1"/>
  </cols>
  <sheetData>
    <row r="1" spans="1:5" ht="23.25">
      <c r="A1" s="28" t="s">
        <v>24</v>
      </c>
      <c r="B1" s="7"/>
      <c r="C1" s="7"/>
      <c r="D1" s="7"/>
      <c r="E1" s="8"/>
    </row>
    <row r="2" spans="1:6" ht="20.25">
      <c r="A2" s="29" t="s">
        <v>23</v>
      </c>
      <c r="B2" s="7"/>
      <c r="C2" s="7"/>
      <c r="D2" s="8"/>
      <c r="E2" s="8"/>
      <c r="F2" s="8"/>
    </row>
    <row r="3" spans="1:6" ht="20.25">
      <c r="A3" s="28" t="s">
        <v>0</v>
      </c>
      <c r="B3" s="7"/>
      <c r="C3" s="7"/>
      <c r="D3" s="8"/>
      <c r="E3" s="8"/>
      <c r="F3" s="8"/>
    </row>
    <row r="4" spans="1:6" ht="15.75">
      <c r="A4" s="8"/>
      <c r="B4" s="8"/>
      <c r="C4" s="8"/>
      <c r="D4" s="8"/>
      <c r="E4" s="8"/>
      <c r="F4" s="8"/>
    </row>
    <row r="5" spans="1:6" ht="43.5">
      <c r="A5" s="32"/>
      <c r="B5" s="33" t="s">
        <v>25</v>
      </c>
      <c r="C5" s="33" t="s">
        <v>26</v>
      </c>
      <c r="D5" s="33" t="s">
        <v>27</v>
      </c>
      <c r="E5" s="33" t="s">
        <v>28</v>
      </c>
      <c r="F5" s="33" t="s">
        <v>29</v>
      </c>
    </row>
    <row r="6" spans="1:6" ht="15.75">
      <c r="A6" s="8"/>
      <c r="B6" s="10"/>
      <c r="C6" s="8"/>
      <c r="D6" s="8"/>
      <c r="E6" s="10"/>
      <c r="F6" s="10"/>
    </row>
    <row r="7" spans="1:6" ht="15.75">
      <c r="A7" s="11" t="s">
        <v>18</v>
      </c>
      <c r="B7" s="30">
        <v>1610</v>
      </c>
      <c r="C7" s="30">
        <v>4805</v>
      </c>
      <c r="D7" s="30">
        <v>6273</v>
      </c>
      <c r="E7" s="30">
        <v>5887</v>
      </c>
      <c r="F7" s="30">
        <v>1610</v>
      </c>
    </row>
    <row r="8" spans="1:6" ht="15.75">
      <c r="A8" s="8"/>
      <c r="B8" s="15"/>
      <c r="C8" s="16"/>
      <c r="D8" s="16"/>
      <c r="E8" s="10"/>
      <c r="F8" s="10"/>
    </row>
    <row r="9" spans="1:6" ht="15.75">
      <c r="A9" s="11" t="s">
        <v>1</v>
      </c>
      <c r="B9" s="17" t="s">
        <v>2</v>
      </c>
      <c r="C9" s="17" t="s">
        <v>2</v>
      </c>
      <c r="D9" s="17" t="s">
        <v>2</v>
      </c>
      <c r="E9" s="18" t="s">
        <v>2</v>
      </c>
      <c r="F9" s="18" t="s">
        <v>2</v>
      </c>
    </row>
    <row r="10" spans="1:6" ht="15.75">
      <c r="A10" s="11" t="s">
        <v>17</v>
      </c>
      <c r="B10" s="12">
        <v>9231</v>
      </c>
      <c r="C10" s="12">
        <v>6340</v>
      </c>
      <c r="D10" s="12">
        <v>5997</v>
      </c>
      <c r="E10" s="14">
        <v>7296</v>
      </c>
      <c r="F10" s="14">
        <v>28864</v>
      </c>
    </row>
    <row r="11" spans="1:6" ht="15.75">
      <c r="A11" s="11" t="s">
        <v>3</v>
      </c>
      <c r="B11" s="36">
        <v>1635</v>
      </c>
      <c r="C11" s="36">
        <v>1688</v>
      </c>
      <c r="D11" s="36">
        <v>1667</v>
      </c>
      <c r="E11" s="37">
        <v>1571</v>
      </c>
      <c r="F11" s="14">
        <v>6561</v>
      </c>
    </row>
    <row r="12" spans="1:6" ht="15.75">
      <c r="A12" s="11" t="s">
        <v>4</v>
      </c>
      <c r="B12" s="36">
        <v>1410</v>
      </c>
      <c r="C12" s="36">
        <v>1159</v>
      </c>
      <c r="D12" s="36">
        <v>1128</v>
      </c>
      <c r="E12" s="37">
        <v>2349</v>
      </c>
      <c r="F12" s="14">
        <v>6046</v>
      </c>
    </row>
    <row r="13" spans="1:6" ht="15.75">
      <c r="A13" s="11" t="s">
        <v>5</v>
      </c>
      <c r="B13" s="36">
        <v>277</v>
      </c>
      <c r="C13" s="36">
        <v>326</v>
      </c>
      <c r="D13" s="36">
        <v>384</v>
      </c>
      <c r="E13" s="37">
        <v>269</v>
      </c>
      <c r="F13" s="14">
        <v>1256</v>
      </c>
    </row>
    <row r="14" spans="1:6" ht="15.75">
      <c r="A14" s="11" t="s">
        <v>6</v>
      </c>
      <c r="B14" s="36">
        <v>895</v>
      </c>
      <c r="C14" s="36">
        <v>659</v>
      </c>
      <c r="D14" s="36">
        <v>762</v>
      </c>
      <c r="E14" s="37">
        <v>903</v>
      </c>
      <c r="F14" s="14">
        <v>3219</v>
      </c>
    </row>
    <row r="15" spans="1:6" ht="15.75">
      <c r="A15" s="11" t="s">
        <v>19</v>
      </c>
      <c r="B15" s="38">
        <v>0</v>
      </c>
      <c r="C15" s="38">
        <v>0</v>
      </c>
      <c r="D15" s="38">
        <v>0</v>
      </c>
      <c r="E15" s="38">
        <v>0</v>
      </c>
      <c r="F15" s="38">
        <v>0</v>
      </c>
    </row>
    <row r="16" spans="1:6" ht="15.75">
      <c r="A16" s="11" t="s">
        <v>7</v>
      </c>
      <c r="B16" s="36">
        <v>4746</v>
      </c>
      <c r="C16" s="36">
        <v>3566</v>
      </c>
      <c r="D16" s="36">
        <v>3518</v>
      </c>
      <c r="E16" s="37">
        <v>4092</v>
      </c>
      <c r="F16" s="14">
        <v>15922</v>
      </c>
    </row>
    <row r="17" spans="1:6" ht="15.75">
      <c r="A17" s="11"/>
      <c r="B17" s="39"/>
      <c r="C17" s="39"/>
      <c r="D17" s="39"/>
      <c r="E17" s="39"/>
      <c r="F17" s="39"/>
    </row>
    <row r="18" spans="1:6" ht="15.75">
      <c r="A18" s="11" t="s">
        <v>8</v>
      </c>
      <c r="B18" s="12">
        <f>SUM(B10:B16)</f>
        <v>18194</v>
      </c>
      <c r="C18" s="12">
        <f>SUM(C10:C16)</f>
        <v>13738</v>
      </c>
      <c r="D18" s="12">
        <f>SUM(D10:D16)</f>
        <v>13456</v>
      </c>
      <c r="E18" s="12">
        <f>SUM(E10:E16)</f>
        <v>16480</v>
      </c>
      <c r="F18" s="12">
        <f>SUM(F10:F16)</f>
        <v>61868</v>
      </c>
    </row>
    <row r="19" spans="1:6" ht="15.75">
      <c r="A19" s="8"/>
      <c r="B19" s="36"/>
      <c r="C19" s="36"/>
      <c r="D19" s="39"/>
      <c r="E19" s="30"/>
      <c r="F19" s="37"/>
    </row>
    <row r="20" spans="1:6" ht="15.75">
      <c r="A20" s="11" t="s">
        <v>9</v>
      </c>
      <c r="B20" s="36"/>
      <c r="C20" s="36"/>
      <c r="D20" s="36"/>
      <c r="E20" s="37"/>
      <c r="F20" s="37"/>
    </row>
    <row r="21" spans="1:6" ht="15.75">
      <c r="A21" s="11" t="s">
        <v>10</v>
      </c>
      <c r="B21" s="36">
        <v>9968</v>
      </c>
      <c r="C21" s="36">
        <v>7217</v>
      </c>
      <c r="D21" s="36">
        <v>8856</v>
      </c>
      <c r="E21" s="37">
        <v>13899</v>
      </c>
      <c r="F21" s="14">
        <v>39940</v>
      </c>
    </row>
    <row r="22" spans="1:6" ht="15.75">
      <c r="A22" s="11" t="s">
        <v>11</v>
      </c>
      <c r="B22" s="36">
        <v>1789</v>
      </c>
      <c r="C22" s="36">
        <v>1868</v>
      </c>
      <c r="D22" s="36">
        <v>1903</v>
      </c>
      <c r="E22" s="37">
        <v>1749</v>
      </c>
      <c r="F22" s="14">
        <v>7309</v>
      </c>
    </row>
    <row r="23" spans="1:6" ht="15.75">
      <c r="A23" s="11" t="s">
        <v>12</v>
      </c>
      <c r="B23" s="36">
        <v>1159</v>
      </c>
      <c r="C23" s="36">
        <v>1238</v>
      </c>
      <c r="D23" s="36">
        <v>1272</v>
      </c>
      <c r="E23" s="37">
        <v>1230</v>
      </c>
      <c r="F23" s="14">
        <v>4899</v>
      </c>
    </row>
    <row r="24" spans="1:6" ht="15.75">
      <c r="A24" s="11" t="s">
        <v>13</v>
      </c>
      <c r="B24" s="36">
        <v>2083</v>
      </c>
      <c r="C24" s="36">
        <v>1947</v>
      </c>
      <c r="D24" s="36">
        <v>1811</v>
      </c>
      <c r="E24" s="37">
        <v>3254</v>
      </c>
      <c r="F24" s="14">
        <v>9095</v>
      </c>
    </row>
    <row r="25" spans="1:6" ht="15.75">
      <c r="A25" s="8"/>
      <c r="B25" s="15"/>
      <c r="C25" s="15"/>
      <c r="D25" s="15"/>
      <c r="E25" s="15"/>
      <c r="F25" s="15"/>
    </row>
    <row r="26" spans="1:6" ht="15.75">
      <c r="A26" s="11" t="s">
        <v>14</v>
      </c>
      <c r="B26" s="30">
        <f>(SUM(B21:B24))*1</f>
        <v>14999</v>
      </c>
      <c r="C26" s="30">
        <f>(SUM(C21:C24))*1</f>
        <v>12270</v>
      </c>
      <c r="D26" s="30">
        <f>(SUM(D21:D24))*1</f>
        <v>13842</v>
      </c>
      <c r="E26" s="30">
        <f>(SUM(E21:E24))*1</f>
        <v>20132</v>
      </c>
      <c r="F26" s="30">
        <f>(SUM(F21:F24))*1</f>
        <v>61243</v>
      </c>
    </row>
    <row r="27" spans="1:6" ht="15.75">
      <c r="A27" s="8"/>
      <c r="B27" s="21"/>
      <c r="C27" s="19"/>
      <c r="D27" s="19"/>
      <c r="E27" s="20"/>
      <c r="F27" s="20"/>
    </row>
    <row r="28" spans="1:6" ht="15.75">
      <c r="A28" s="11" t="s">
        <v>22</v>
      </c>
      <c r="B28" s="30">
        <v>3195</v>
      </c>
      <c r="C28" s="30">
        <v>1468</v>
      </c>
      <c r="D28" s="30">
        <v>-386</v>
      </c>
      <c r="E28" s="30">
        <v>-3652</v>
      </c>
      <c r="F28" s="30">
        <v>625</v>
      </c>
    </row>
    <row r="29" spans="1:6" ht="15.75">
      <c r="A29" s="8"/>
      <c r="B29" s="15"/>
      <c r="C29" s="16"/>
      <c r="D29" s="16"/>
      <c r="E29" s="10"/>
      <c r="F29" s="10"/>
    </row>
    <row r="30" spans="1:6" ht="15.75">
      <c r="A30" s="11" t="s">
        <v>15</v>
      </c>
      <c r="B30" s="30">
        <v>4805</v>
      </c>
      <c r="C30" s="30">
        <v>6273</v>
      </c>
      <c r="D30" s="30">
        <v>5887</v>
      </c>
      <c r="E30" s="30">
        <v>2235</v>
      </c>
      <c r="F30" s="30">
        <v>2235</v>
      </c>
    </row>
    <row r="31" spans="1:6" ht="15.75">
      <c r="A31" s="9"/>
      <c r="B31" s="22"/>
      <c r="C31" s="22"/>
      <c r="D31" s="22"/>
      <c r="E31" s="22"/>
      <c r="F31" s="22"/>
    </row>
    <row r="32" spans="1:6" ht="33" customHeight="1">
      <c r="A32" s="40" t="s">
        <v>20</v>
      </c>
      <c r="B32" s="40"/>
      <c r="C32" s="40"/>
      <c r="D32" s="40"/>
      <c r="E32" s="40"/>
      <c r="F32" s="40"/>
    </row>
    <row r="33" spans="1:6" ht="15.75">
      <c r="A33" s="25"/>
      <c r="B33" s="24"/>
      <c r="C33" s="24"/>
      <c r="D33" s="24"/>
      <c r="E33" s="24"/>
      <c r="F33" s="24"/>
    </row>
    <row r="34" spans="1:6" ht="15.75">
      <c r="A34" s="26"/>
      <c r="B34" s="26"/>
      <c r="C34" s="26"/>
      <c r="D34" s="26"/>
      <c r="E34" s="26"/>
      <c r="F34" s="26"/>
    </row>
    <row r="35" spans="1:6" ht="15.75">
      <c r="A35" s="7" t="s">
        <v>16</v>
      </c>
      <c r="B35" s="20"/>
      <c r="C35" s="20"/>
      <c r="D35" s="20"/>
      <c r="E35" s="27"/>
      <c r="F35" s="27"/>
    </row>
  </sheetData>
  <sheetProtection/>
  <mergeCells count="1">
    <mergeCell ref="A32:F32"/>
  </mergeCells>
  <printOptions/>
  <pageMargins left="0.7" right="0.7" top="0.75" bottom="0.75" header="0.3" footer="0.3"/>
  <pageSetup fitToHeight="1" fitToWidth="1"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28" sqref="A28"/>
    </sheetView>
  </sheetViews>
  <sheetFormatPr defaultColWidth="8.88671875" defaultRowHeight="15.75"/>
  <cols>
    <col min="1" max="1" width="39.77734375" style="0" customWidth="1"/>
    <col min="2" max="16384" width="13.77734375" style="0" customWidth="1"/>
  </cols>
  <sheetData>
    <row r="1" spans="1:5" ht="23.25">
      <c r="A1" s="28" t="s">
        <v>24</v>
      </c>
      <c r="B1" s="7"/>
      <c r="C1" s="7"/>
      <c r="D1" s="7"/>
      <c r="E1" s="8"/>
    </row>
    <row r="2" spans="1:6" ht="20.25">
      <c r="A2" s="29" t="s">
        <v>30</v>
      </c>
      <c r="B2" s="7"/>
      <c r="C2" s="7"/>
      <c r="D2" s="8"/>
      <c r="E2" s="8"/>
      <c r="F2" s="8"/>
    </row>
    <row r="3" spans="1:6" ht="20.25">
      <c r="A3" s="28" t="s">
        <v>0</v>
      </c>
      <c r="B3" s="7"/>
      <c r="C3" s="7"/>
      <c r="D3" s="8"/>
      <c r="E3" s="8"/>
      <c r="F3" s="8"/>
    </row>
    <row r="4" spans="1:6" ht="15.75">
      <c r="A4" s="8"/>
      <c r="B4" s="8"/>
      <c r="C4" s="8"/>
      <c r="D4" s="8"/>
      <c r="E4" s="8"/>
      <c r="F4" s="8"/>
    </row>
    <row r="5" spans="1:6" ht="43.5">
      <c r="A5" s="32"/>
      <c r="B5" s="33" t="s">
        <v>25</v>
      </c>
      <c r="C5" s="33" t="s">
        <v>26</v>
      </c>
      <c r="D5" s="33" t="s">
        <v>27</v>
      </c>
      <c r="E5" s="33" t="s">
        <v>28</v>
      </c>
      <c r="F5" s="33" t="s">
        <v>29</v>
      </c>
    </row>
    <row r="6" spans="1:6" ht="15.75">
      <c r="A6" s="8"/>
      <c r="B6" s="10"/>
      <c r="C6" s="8"/>
      <c r="D6" s="8"/>
      <c r="E6" s="10"/>
      <c r="F6" s="10"/>
    </row>
    <row r="7" spans="1:6" ht="15.75">
      <c r="A7" s="11" t="s">
        <v>18</v>
      </c>
      <c r="B7" s="30">
        <v>1787</v>
      </c>
      <c r="C7" s="30">
        <v>2935</v>
      </c>
      <c r="D7" s="30">
        <v>4282</v>
      </c>
      <c r="E7" s="30">
        <v>4629</v>
      </c>
      <c r="F7" s="30">
        <v>1787</v>
      </c>
    </row>
    <row r="8" spans="1:6" ht="15.75">
      <c r="A8" s="8"/>
      <c r="B8" s="15"/>
      <c r="C8" s="16"/>
      <c r="D8" s="16"/>
      <c r="E8" s="10"/>
      <c r="F8" s="10"/>
    </row>
    <row r="9" spans="1:6" ht="15.75">
      <c r="A9" s="11" t="s">
        <v>1</v>
      </c>
      <c r="B9" s="17" t="s">
        <v>2</v>
      </c>
      <c r="C9" s="17" t="s">
        <v>2</v>
      </c>
      <c r="D9" s="17" t="s">
        <v>2</v>
      </c>
      <c r="E9" s="18" t="s">
        <v>2</v>
      </c>
      <c r="F9" s="18" t="s">
        <v>2</v>
      </c>
    </row>
    <row r="10" spans="1:6" ht="15.75">
      <c r="A10" s="11" t="s">
        <v>17</v>
      </c>
      <c r="B10" s="12">
        <v>7573</v>
      </c>
      <c r="C10" s="12">
        <v>6366</v>
      </c>
      <c r="D10" s="12">
        <v>6118</v>
      </c>
      <c r="E10" s="14">
        <v>6827</v>
      </c>
      <c r="F10" s="14">
        <v>26884</v>
      </c>
    </row>
    <row r="11" spans="1:6" ht="15.75">
      <c r="A11" s="11" t="s">
        <v>3</v>
      </c>
      <c r="B11" s="36">
        <v>2232</v>
      </c>
      <c r="C11" s="36">
        <v>2316</v>
      </c>
      <c r="D11" s="36">
        <v>2289</v>
      </c>
      <c r="E11" s="37">
        <v>2275</v>
      </c>
      <c r="F11" s="14">
        <v>9112</v>
      </c>
    </row>
    <row r="12" spans="1:6" ht="15.75">
      <c r="A12" s="11" t="s">
        <v>4</v>
      </c>
      <c r="B12" s="36">
        <v>1291</v>
      </c>
      <c r="C12" s="36">
        <v>1167</v>
      </c>
      <c r="D12" s="36">
        <v>1430</v>
      </c>
      <c r="E12" s="37">
        <v>2365</v>
      </c>
      <c r="F12" s="14">
        <v>6253</v>
      </c>
    </row>
    <row r="13" spans="1:6" ht="15.75">
      <c r="A13" s="11" t="s">
        <v>5</v>
      </c>
      <c r="B13" s="36">
        <v>275</v>
      </c>
      <c r="C13" s="36">
        <v>264</v>
      </c>
      <c r="D13" s="36">
        <v>273</v>
      </c>
      <c r="E13" s="37">
        <v>222</v>
      </c>
      <c r="F13" s="14">
        <v>1034</v>
      </c>
    </row>
    <row r="14" spans="1:6" ht="15.75">
      <c r="A14" s="11" t="s">
        <v>6</v>
      </c>
      <c r="B14" s="36">
        <v>626</v>
      </c>
      <c r="C14" s="36">
        <v>1228</v>
      </c>
      <c r="D14" s="36">
        <v>495</v>
      </c>
      <c r="E14" s="37">
        <v>1155</v>
      </c>
      <c r="F14" s="14">
        <v>3504</v>
      </c>
    </row>
    <row r="15" spans="1:6" ht="15.75">
      <c r="A15" s="11" t="s">
        <v>19</v>
      </c>
      <c r="B15" s="36">
        <v>18</v>
      </c>
      <c r="C15" s="38">
        <v>16</v>
      </c>
      <c r="D15" s="36">
        <v>13</v>
      </c>
      <c r="E15" s="37">
        <v>15</v>
      </c>
      <c r="F15" s="14">
        <v>62</v>
      </c>
    </row>
    <row r="16" spans="1:6" ht="15.75">
      <c r="A16" s="11" t="s">
        <v>7</v>
      </c>
      <c r="B16" s="36">
        <v>3390</v>
      </c>
      <c r="C16" s="36">
        <v>2648</v>
      </c>
      <c r="D16" s="36">
        <v>2433</v>
      </c>
      <c r="E16" s="37">
        <v>3463</v>
      </c>
      <c r="F16" s="14">
        <v>11934</v>
      </c>
    </row>
    <row r="17" spans="1:6" ht="15.75">
      <c r="A17" s="11"/>
      <c r="B17" s="39"/>
      <c r="C17" s="39"/>
      <c r="D17" s="39"/>
      <c r="E17" s="39"/>
      <c r="F17" s="39"/>
    </row>
    <row r="18" spans="1:6" ht="15.75">
      <c r="A18" s="11" t="s">
        <v>8</v>
      </c>
      <c r="B18" s="12">
        <f>SUM(B10:B16)</f>
        <v>15405</v>
      </c>
      <c r="C18" s="12">
        <f>SUM(C10:C16)</f>
        <v>14005</v>
      </c>
      <c r="D18" s="12">
        <f>SUM(D10:D16)</f>
        <v>13051</v>
      </c>
      <c r="E18" s="12">
        <f>SUM(E10:E16)</f>
        <v>16322</v>
      </c>
      <c r="F18" s="12">
        <f>SUM(F10:F16)</f>
        <v>58783</v>
      </c>
    </row>
    <row r="19" spans="1:6" ht="15.75">
      <c r="A19" s="8"/>
      <c r="B19" s="36"/>
      <c r="C19" s="36"/>
      <c r="D19" s="39"/>
      <c r="E19" s="30"/>
      <c r="F19" s="37"/>
    </row>
    <row r="20" spans="1:6" ht="15.75">
      <c r="A20" s="11" t="s">
        <v>9</v>
      </c>
      <c r="B20" s="36"/>
      <c r="C20" s="36"/>
      <c r="D20" s="36"/>
      <c r="E20" s="37"/>
      <c r="F20" s="37"/>
    </row>
    <row r="21" spans="1:6" ht="15.75">
      <c r="A21" s="11" t="s">
        <v>10</v>
      </c>
      <c r="B21" s="36">
        <v>9669</v>
      </c>
      <c r="C21" s="36">
        <v>7908</v>
      </c>
      <c r="D21" s="36">
        <v>8282</v>
      </c>
      <c r="E21" s="37">
        <v>13901</v>
      </c>
      <c r="F21" s="14">
        <v>39760</v>
      </c>
    </row>
    <row r="22" spans="1:6" ht="15.75">
      <c r="A22" s="11" t="s">
        <v>11</v>
      </c>
      <c r="B22" s="36">
        <v>2116</v>
      </c>
      <c r="C22" s="36">
        <v>1880</v>
      </c>
      <c r="D22" s="36">
        <v>1926</v>
      </c>
      <c r="E22" s="37">
        <v>1934</v>
      </c>
      <c r="F22" s="14">
        <v>7856</v>
      </c>
    </row>
    <row r="23" spans="1:6" ht="15.75">
      <c r="A23" s="11" t="s">
        <v>12</v>
      </c>
      <c r="B23" s="36">
        <v>945</v>
      </c>
      <c r="C23" s="36">
        <v>1265</v>
      </c>
      <c r="D23" s="36">
        <v>627</v>
      </c>
      <c r="E23" s="37">
        <v>1713</v>
      </c>
      <c r="F23" s="14">
        <v>4550</v>
      </c>
    </row>
    <row r="24" spans="1:6" ht="15.75">
      <c r="A24" s="11" t="s">
        <v>13</v>
      </c>
      <c r="B24" s="36">
        <v>1527</v>
      </c>
      <c r="C24" s="36">
        <v>1605</v>
      </c>
      <c r="D24" s="36">
        <v>1869</v>
      </c>
      <c r="E24" s="37">
        <v>1793</v>
      </c>
      <c r="F24" s="14">
        <v>6794</v>
      </c>
    </row>
    <row r="25" spans="1:6" ht="15.75">
      <c r="A25" s="8"/>
      <c r="B25" s="15"/>
      <c r="C25" s="15"/>
      <c r="D25" s="15"/>
      <c r="E25" s="15"/>
      <c r="F25" s="15"/>
    </row>
    <row r="26" spans="1:6" ht="15.75">
      <c r="A26" s="11" t="s">
        <v>14</v>
      </c>
      <c r="B26" s="30">
        <f>(SUM(B21:B24))*1</f>
        <v>14257</v>
      </c>
      <c r="C26" s="30">
        <f>(SUM(C21:C24))*1</f>
        <v>12658</v>
      </c>
      <c r="D26" s="30">
        <f>(SUM(D21:D24))*1</f>
        <v>12704</v>
      </c>
      <c r="E26" s="30">
        <f>(SUM(E21:E24))*1</f>
        <v>19341</v>
      </c>
      <c r="F26" s="30">
        <f>(SUM(F21:F24))*1</f>
        <v>58960</v>
      </c>
    </row>
    <row r="27" spans="1:6" ht="15.75">
      <c r="A27" s="8"/>
      <c r="B27" s="21"/>
      <c r="C27" s="19"/>
      <c r="D27" s="19"/>
      <c r="E27" s="20"/>
      <c r="F27" s="20"/>
    </row>
    <row r="28" spans="1:6" ht="15.75">
      <c r="A28" s="11" t="s">
        <v>22</v>
      </c>
      <c r="B28" s="30">
        <v>1148</v>
      </c>
      <c r="C28" s="30">
        <v>1347</v>
      </c>
      <c r="D28" s="30">
        <v>347</v>
      </c>
      <c r="E28" s="30">
        <v>-3019</v>
      </c>
      <c r="F28" s="30">
        <v>-177</v>
      </c>
    </row>
    <row r="29" spans="1:6" ht="15.75">
      <c r="A29" s="8"/>
      <c r="B29" s="30"/>
      <c r="C29" s="30"/>
      <c r="D29" s="30"/>
      <c r="E29" s="30"/>
      <c r="F29" s="30"/>
    </row>
    <row r="30" spans="1:6" ht="15.75">
      <c r="A30" s="11" t="s">
        <v>15</v>
      </c>
      <c r="B30" s="30">
        <v>2935</v>
      </c>
      <c r="C30" s="30">
        <v>4282</v>
      </c>
      <c r="D30" s="30">
        <v>4629</v>
      </c>
      <c r="E30" s="30">
        <v>1610</v>
      </c>
      <c r="F30" s="30">
        <v>1610</v>
      </c>
    </row>
    <row r="31" spans="1:6" ht="15.75">
      <c r="A31" s="9"/>
      <c r="B31" s="22"/>
      <c r="C31" s="22"/>
      <c r="D31" s="22"/>
      <c r="E31" s="22"/>
      <c r="F31" s="22"/>
    </row>
    <row r="32" spans="1:6" ht="33.75" customHeight="1">
      <c r="A32" s="40" t="s">
        <v>20</v>
      </c>
      <c r="B32" s="40"/>
      <c r="C32" s="40"/>
      <c r="D32" s="40"/>
      <c r="E32" s="40"/>
      <c r="F32" s="40"/>
    </row>
    <row r="33" spans="1:6" ht="15.75">
      <c r="A33" s="25"/>
      <c r="B33" s="24"/>
      <c r="C33" s="24"/>
      <c r="D33" s="24"/>
      <c r="E33" s="24"/>
      <c r="F33" s="24"/>
    </row>
    <row r="34" spans="1:6" ht="15.75">
      <c r="A34" s="7" t="s">
        <v>16</v>
      </c>
      <c r="B34" s="20"/>
      <c r="C34" s="20"/>
      <c r="D34" s="20"/>
      <c r="E34" s="27"/>
      <c r="F34" s="27"/>
    </row>
    <row r="35" spans="1:6" ht="15.75">
      <c r="A35" s="7"/>
      <c r="B35" s="20"/>
      <c r="C35" s="20"/>
      <c r="D35" s="20"/>
      <c r="E35" s="27"/>
      <c r="F35" s="27"/>
    </row>
    <row r="36" spans="1:6" ht="15.75">
      <c r="A36" s="7"/>
      <c r="B36" s="20"/>
      <c r="C36" s="20"/>
      <c r="D36" s="20"/>
      <c r="E36" s="27"/>
      <c r="F36" s="27"/>
    </row>
  </sheetData>
  <sheetProtection/>
  <mergeCells count="1">
    <mergeCell ref="A32:F32"/>
  </mergeCells>
  <printOptions/>
  <pageMargins left="0.7" right="0.7" top="0.75" bottom="0.75" header="0.3" footer="0.3"/>
  <pageSetup fitToHeight="1" fitToWidth="1" horizontalDpi="600" verticalDpi="600" orientation="landscape" scale="92" r:id="rId1"/>
</worksheet>
</file>

<file path=xl/worksheets/sheet4.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
      <selection activeCell="A28" sqref="A28"/>
    </sheetView>
  </sheetViews>
  <sheetFormatPr defaultColWidth="8.88671875" defaultRowHeight="15.75"/>
  <cols>
    <col min="1" max="1" width="39.77734375" style="0" customWidth="1"/>
    <col min="2" max="16384" width="13.77734375" style="0" customWidth="1"/>
  </cols>
  <sheetData>
    <row r="1" spans="1:8" ht="23.25">
      <c r="A1" s="28" t="s">
        <v>24</v>
      </c>
      <c r="B1" s="7"/>
      <c r="C1" s="7"/>
      <c r="D1" s="7"/>
      <c r="E1" s="8"/>
      <c r="G1" s="31"/>
      <c r="H1" s="8"/>
    </row>
    <row r="2" spans="1:8" ht="20.25">
      <c r="A2" s="29" t="s">
        <v>31</v>
      </c>
      <c r="B2" s="7"/>
      <c r="C2" s="7"/>
      <c r="D2" s="8"/>
      <c r="E2" s="8"/>
      <c r="F2" s="8"/>
      <c r="G2" s="31"/>
      <c r="H2" s="8"/>
    </row>
    <row r="3" spans="1:8" ht="20.25">
      <c r="A3" s="28" t="s">
        <v>0</v>
      </c>
      <c r="B3" s="7"/>
      <c r="C3" s="7"/>
      <c r="D3" s="8"/>
      <c r="E3" s="8"/>
      <c r="F3" s="8"/>
      <c r="G3" s="31"/>
      <c r="H3" s="8"/>
    </row>
    <row r="4" spans="1:8" ht="15.75">
      <c r="A4" s="8"/>
      <c r="B4" s="8"/>
      <c r="C4" s="8"/>
      <c r="D4" s="8"/>
      <c r="E4" s="8"/>
      <c r="F4" s="8"/>
      <c r="G4" s="31"/>
      <c r="H4" s="8"/>
    </row>
    <row r="5" spans="1:8" ht="43.5">
      <c r="A5" s="32"/>
      <c r="B5" s="33" t="s">
        <v>25</v>
      </c>
      <c r="C5" s="33" t="s">
        <v>26</v>
      </c>
      <c r="D5" s="33" t="s">
        <v>27</v>
      </c>
      <c r="E5" s="33" t="s">
        <v>28</v>
      </c>
      <c r="F5" s="33" t="s">
        <v>29</v>
      </c>
      <c r="G5" s="31"/>
      <c r="H5" s="8"/>
    </row>
    <row r="6" spans="1:8" ht="15.75">
      <c r="A6" s="8"/>
      <c r="B6" s="10"/>
      <c r="C6" s="8"/>
      <c r="D6" s="8"/>
      <c r="E6" s="10"/>
      <c r="F6" s="10"/>
      <c r="G6" s="31"/>
      <c r="H6" s="8"/>
    </row>
    <row r="7" spans="1:8" ht="15.75">
      <c r="A7" s="11" t="s">
        <v>18</v>
      </c>
      <c r="B7" s="30">
        <v>1376</v>
      </c>
      <c r="C7" s="30">
        <f>(B30)*1</f>
        <v>2492</v>
      </c>
      <c r="D7" s="30">
        <f>(C30)*1</f>
        <v>4948</v>
      </c>
      <c r="E7" s="30">
        <f>(D30)*1</f>
        <v>2315</v>
      </c>
      <c r="F7" s="30">
        <f>(B7)*1</f>
        <v>1376</v>
      </c>
      <c r="G7" s="31"/>
      <c r="H7" s="30"/>
    </row>
    <row r="8" spans="1:8" ht="15.75">
      <c r="A8" s="8"/>
      <c r="B8" s="15"/>
      <c r="C8" s="21"/>
      <c r="D8" s="21"/>
      <c r="E8" s="8"/>
      <c r="F8" s="18"/>
      <c r="G8" s="31"/>
      <c r="H8" s="8"/>
    </row>
    <row r="9" spans="1:8" ht="15.75">
      <c r="A9" s="11" t="s">
        <v>1</v>
      </c>
      <c r="B9" s="17" t="s">
        <v>2</v>
      </c>
      <c r="C9" s="17" t="s">
        <v>2</v>
      </c>
      <c r="D9" s="17" t="s">
        <v>2</v>
      </c>
      <c r="E9" s="18" t="s">
        <v>2</v>
      </c>
      <c r="F9" s="18" t="s">
        <v>2</v>
      </c>
      <c r="G9" s="31"/>
      <c r="H9" s="8"/>
    </row>
    <row r="10" spans="1:8" ht="15.75">
      <c r="A10" s="11" t="s">
        <v>17</v>
      </c>
      <c r="B10" s="12">
        <f>4153+1072+2610</f>
        <v>7835</v>
      </c>
      <c r="C10" s="12">
        <f>1661+1817+2689</f>
        <v>6167</v>
      </c>
      <c r="D10" s="12">
        <f>1540+1561+179</f>
        <v>3280</v>
      </c>
      <c r="E10" s="14">
        <f>4848+2077+1636</f>
        <v>8561</v>
      </c>
      <c r="F10" s="14">
        <f aca="true" t="shared" si="0" ref="F10:F16">SUM(B10:E10)</f>
        <v>25843</v>
      </c>
      <c r="G10" s="31"/>
      <c r="H10" s="30"/>
    </row>
    <row r="11" spans="1:8" ht="15.75">
      <c r="A11" s="11" t="s">
        <v>3</v>
      </c>
      <c r="B11" s="36">
        <f>689+667+892</f>
        <v>2248</v>
      </c>
      <c r="C11" s="36">
        <f>716+688+881</f>
        <v>2285</v>
      </c>
      <c r="D11" s="36">
        <f>698+689+915</f>
        <v>2302</v>
      </c>
      <c r="E11" s="37">
        <f>739+614+867</f>
        <v>2220</v>
      </c>
      <c r="F11" s="14">
        <f t="shared" si="0"/>
        <v>9055</v>
      </c>
      <c r="G11" s="31"/>
      <c r="H11" s="30"/>
    </row>
    <row r="12" spans="1:8" ht="15.75">
      <c r="A12" s="11" t="s">
        <v>4</v>
      </c>
      <c r="B12" s="36">
        <f>161+28+1173</f>
        <v>1362</v>
      </c>
      <c r="C12" s="36">
        <f>-36+43+1022</f>
        <v>1029</v>
      </c>
      <c r="D12" s="36">
        <f>58+110+1163</f>
        <v>1331</v>
      </c>
      <c r="E12" s="37">
        <f>197+40+1801</f>
        <v>2038</v>
      </c>
      <c r="F12" s="14">
        <f t="shared" si="0"/>
        <v>5760</v>
      </c>
      <c r="G12" s="31"/>
      <c r="H12" s="30"/>
    </row>
    <row r="13" spans="1:8" ht="15.75">
      <c r="A13" s="11" t="s">
        <v>5</v>
      </c>
      <c r="B13" s="36">
        <f>65+132+74</f>
        <v>271</v>
      </c>
      <c r="C13" s="36">
        <f>88+109+119</f>
        <v>316</v>
      </c>
      <c r="D13" s="36">
        <f>98+106+78</f>
        <v>282</v>
      </c>
      <c r="E13" s="37">
        <f>80+66+81</f>
        <v>227</v>
      </c>
      <c r="F13" s="14">
        <f t="shared" si="0"/>
        <v>1096</v>
      </c>
      <c r="G13" s="31"/>
      <c r="H13" s="30"/>
    </row>
    <row r="14" spans="1:8" ht="15.75">
      <c r="A14" s="11" t="s">
        <v>6</v>
      </c>
      <c r="B14" s="36">
        <f>78+92+317</f>
        <v>487</v>
      </c>
      <c r="C14" s="36">
        <f>115+122+505</f>
        <v>742</v>
      </c>
      <c r="D14" s="36">
        <f>146+458+238</f>
        <v>842</v>
      </c>
      <c r="E14" s="37">
        <f>156+193+742</f>
        <v>1091</v>
      </c>
      <c r="F14" s="14">
        <f t="shared" si="0"/>
        <v>3162</v>
      </c>
      <c r="G14" s="31"/>
      <c r="H14" s="30"/>
    </row>
    <row r="15" spans="1:8" ht="15.75">
      <c r="A15" s="11" t="s">
        <v>19</v>
      </c>
      <c r="B15" s="36">
        <f>2+13</f>
        <v>15</v>
      </c>
      <c r="C15" s="38">
        <f>17</f>
        <v>17</v>
      </c>
      <c r="D15" s="36">
        <v>15</v>
      </c>
      <c r="E15" s="37">
        <f>13</f>
        <v>13</v>
      </c>
      <c r="F15" s="14">
        <f t="shared" si="0"/>
        <v>60</v>
      </c>
      <c r="G15" s="31"/>
      <c r="H15" s="30"/>
    </row>
    <row r="16" spans="1:8" ht="15.75">
      <c r="A16" s="11" t="s">
        <v>7</v>
      </c>
      <c r="B16" s="36">
        <f>1720+352+1414</f>
        <v>3486</v>
      </c>
      <c r="C16" s="36">
        <f>760+464+1417</f>
        <v>2641</v>
      </c>
      <c r="D16" s="36">
        <f>539+474+1271</f>
        <v>2284</v>
      </c>
      <c r="E16" s="37">
        <f>1218+625+1670</f>
        <v>3513</v>
      </c>
      <c r="F16" s="14">
        <f t="shared" si="0"/>
        <v>11924</v>
      </c>
      <c r="G16" s="31"/>
      <c r="H16" s="30"/>
    </row>
    <row r="17" spans="1:8" ht="15.75">
      <c r="A17" s="8"/>
      <c r="B17" s="39"/>
      <c r="C17" s="39"/>
      <c r="D17" s="39"/>
      <c r="E17" s="39"/>
      <c r="F17" s="39"/>
      <c r="G17" s="31"/>
      <c r="H17" s="8"/>
    </row>
    <row r="18" spans="1:8" ht="15.75">
      <c r="A18" s="11" t="s">
        <v>8</v>
      </c>
      <c r="B18" s="30">
        <v>15704</v>
      </c>
      <c r="C18" s="30">
        <v>13197</v>
      </c>
      <c r="D18" s="30">
        <v>10336</v>
      </c>
      <c r="E18" s="30">
        <v>17663</v>
      </c>
      <c r="F18" s="30">
        <v>56900</v>
      </c>
      <c r="G18" s="31"/>
      <c r="H18" s="8"/>
    </row>
    <row r="19" spans="1:8" ht="15.75">
      <c r="A19" s="8"/>
      <c r="B19" s="36"/>
      <c r="C19" s="36"/>
      <c r="D19" s="39"/>
      <c r="E19" s="30"/>
      <c r="F19" s="37"/>
      <c r="G19" s="31"/>
      <c r="H19" s="8"/>
    </row>
    <row r="20" spans="1:8" ht="15.75">
      <c r="A20" s="11" t="s">
        <v>9</v>
      </c>
      <c r="B20" s="36"/>
      <c r="C20" s="36"/>
      <c r="D20" s="36"/>
      <c r="E20" s="37"/>
      <c r="F20" s="37"/>
      <c r="G20" s="31"/>
      <c r="H20" s="8"/>
    </row>
    <row r="21" spans="1:8" ht="15.75">
      <c r="A21" s="11" t="s">
        <v>10</v>
      </c>
      <c r="B21" s="36">
        <f>1589+3772+4832</f>
        <v>10193</v>
      </c>
      <c r="C21" s="36">
        <f>2161+2109+2403</f>
        <v>6673</v>
      </c>
      <c r="D21" s="36">
        <f>3023+2522+3421</f>
        <v>8966</v>
      </c>
      <c r="E21" s="37">
        <f>1456+1797+9334</f>
        <v>12587</v>
      </c>
      <c r="F21" s="14">
        <f>SUM(B21:E21)</f>
        <v>38419</v>
      </c>
      <c r="G21" s="31"/>
      <c r="H21" s="30"/>
    </row>
    <row r="22" spans="1:8" ht="15.75">
      <c r="A22" s="11" t="s">
        <v>11</v>
      </c>
      <c r="B22" s="36">
        <f>602+199+525+125+598+90</f>
        <v>2139</v>
      </c>
      <c r="C22" s="36">
        <f>554+143+667+165+356+118</f>
        <v>2003</v>
      </c>
      <c r="D22" s="36">
        <f>370+90+404+109+556+154</f>
        <v>1683</v>
      </c>
      <c r="E22" s="37">
        <f>349+153+525+125+275+242</f>
        <v>1669</v>
      </c>
      <c r="F22" s="14">
        <f>SUM(B22:E22)</f>
        <v>7494</v>
      </c>
      <c r="G22" s="31"/>
      <c r="H22" s="30"/>
    </row>
    <row r="23" spans="1:8" ht="15.75">
      <c r="A23" s="11" t="s">
        <v>12</v>
      </c>
      <c r="B23" s="36">
        <f>404+322+119</f>
        <v>845</v>
      </c>
      <c r="C23" s="36">
        <f>419+241+248</f>
        <v>908</v>
      </c>
      <c r="D23" s="36">
        <f>358+72+323</f>
        <v>753</v>
      </c>
      <c r="E23" s="37">
        <f>406+236+1572</f>
        <v>2214</v>
      </c>
      <c r="F23" s="14">
        <f>SUM(B23:E23)</f>
        <v>4720</v>
      </c>
      <c r="G23" s="31"/>
      <c r="H23" s="30"/>
    </row>
    <row r="24" spans="1:8" ht="15.75">
      <c r="A24" s="11" t="s">
        <v>13</v>
      </c>
      <c r="B24" s="36">
        <f>940+313+158</f>
        <v>1411</v>
      </c>
      <c r="C24" s="36">
        <f>635+374+148</f>
        <v>1157</v>
      </c>
      <c r="D24" s="36">
        <f>792+421+354</f>
        <v>1567</v>
      </c>
      <c r="E24" s="37">
        <f>565+521+635</f>
        <v>1721</v>
      </c>
      <c r="F24" s="14">
        <f>SUM(B24:E24)</f>
        <v>5856</v>
      </c>
      <c r="G24" s="31"/>
      <c r="H24" s="30"/>
    </row>
    <row r="25" spans="1:8" ht="15.75">
      <c r="A25" s="8"/>
      <c r="B25" s="15"/>
      <c r="C25" s="15"/>
      <c r="D25" s="15"/>
      <c r="E25" s="15"/>
      <c r="F25" s="15"/>
      <c r="G25" s="31"/>
      <c r="H25" s="8"/>
    </row>
    <row r="26" spans="1:8" ht="15.75">
      <c r="A26" s="11" t="s">
        <v>14</v>
      </c>
      <c r="B26" s="30">
        <v>14588</v>
      </c>
      <c r="C26" s="30">
        <v>10741</v>
      </c>
      <c r="D26" s="30">
        <v>12969</v>
      </c>
      <c r="E26" s="30">
        <v>18191</v>
      </c>
      <c r="F26" s="30">
        <v>56489</v>
      </c>
      <c r="G26" s="31"/>
      <c r="H26" s="8"/>
    </row>
    <row r="27" spans="1:8" ht="15.75">
      <c r="A27" s="8"/>
      <c r="B27" s="30"/>
      <c r="C27" s="30"/>
      <c r="D27" s="30"/>
      <c r="E27" s="30"/>
      <c r="F27" s="30"/>
      <c r="G27" s="31"/>
      <c r="H27" s="8"/>
    </row>
    <row r="28" spans="1:8" ht="15.75">
      <c r="A28" s="11" t="s">
        <v>22</v>
      </c>
      <c r="B28" s="30">
        <v>1116</v>
      </c>
      <c r="C28" s="30">
        <v>2456</v>
      </c>
      <c r="D28" s="30">
        <v>-2633</v>
      </c>
      <c r="E28" s="30">
        <v>-528</v>
      </c>
      <c r="F28" s="30">
        <v>411</v>
      </c>
      <c r="G28" s="31"/>
      <c r="H28" s="30"/>
    </row>
    <row r="29" spans="1:8" ht="15.75">
      <c r="A29" s="8"/>
      <c r="B29" s="30"/>
      <c r="C29" s="30"/>
      <c r="D29" s="30"/>
      <c r="E29" s="30"/>
      <c r="F29" s="30"/>
      <c r="G29" s="31"/>
      <c r="H29" s="8"/>
    </row>
    <row r="30" spans="1:8" ht="15.75">
      <c r="A30" s="11" t="s">
        <v>15</v>
      </c>
      <c r="B30" s="30">
        <v>2492</v>
      </c>
      <c r="C30" s="30">
        <v>4948</v>
      </c>
      <c r="D30" s="30">
        <v>2315</v>
      </c>
      <c r="E30" s="30">
        <v>1787</v>
      </c>
      <c r="F30" s="30">
        <v>1787</v>
      </c>
      <c r="G30" s="31"/>
      <c r="H30" s="8"/>
    </row>
    <row r="31" spans="1:8" ht="15.75">
      <c r="A31" s="9"/>
      <c r="B31" s="22"/>
      <c r="C31" s="22"/>
      <c r="D31" s="22"/>
      <c r="E31" s="22"/>
      <c r="F31" s="22"/>
      <c r="G31" s="31"/>
      <c r="H31" s="8"/>
    </row>
    <row r="32" spans="1:8" ht="30.75" customHeight="1">
      <c r="A32" s="40" t="s">
        <v>20</v>
      </c>
      <c r="B32" s="40"/>
      <c r="C32" s="40"/>
      <c r="D32" s="40"/>
      <c r="E32" s="40"/>
      <c r="F32" s="40"/>
      <c r="G32" s="31"/>
      <c r="H32" s="8"/>
    </row>
    <row r="33" spans="1:8" ht="15.75">
      <c r="A33" s="25"/>
      <c r="B33" s="24"/>
      <c r="C33" s="24"/>
      <c r="D33" s="24"/>
      <c r="E33" s="24"/>
      <c r="F33" s="24"/>
      <c r="G33" s="31"/>
      <c r="H33" s="8"/>
    </row>
    <row r="34" spans="1:8" ht="15.75">
      <c r="A34" s="7" t="s">
        <v>16</v>
      </c>
      <c r="B34" s="20"/>
      <c r="C34" s="20"/>
      <c r="D34" s="20"/>
      <c r="E34" s="27"/>
      <c r="F34" s="27"/>
      <c r="G34" s="31"/>
      <c r="H34" s="8"/>
    </row>
    <row r="35" spans="1:8" ht="15.75">
      <c r="A35" s="7"/>
      <c r="B35" s="20"/>
      <c r="C35" s="20"/>
      <c r="D35" s="20"/>
      <c r="E35" s="27"/>
      <c r="F35" s="27"/>
      <c r="G35" s="31"/>
      <c r="H35" s="8"/>
    </row>
    <row r="36" spans="1:8" ht="15.75">
      <c r="A36" s="7"/>
      <c r="B36" s="20"/>
      <c r="C36" s="20"/>
      <c r="D36" s="20"/>
      <c r="E36" s="27"/>
      <c r="F36" s="27"/>
      <c r="G36" s="31"/>
      <c r="H36" s="8"/>
    </row>
    <row r="37" spans="1:8" ht="15.75">
      <c r="A37" s="8"/>
      <c r="B37" s="27"/>
      <c r="C37" s="27"/>
      <c r="D37" s="27"/>
      <c r="E37" s="27"/>
      <c r="F37" s="27"/>
      <c r="G37" s="31"/>
      <c r="H37" s="8"/>
    </row>
    <row r="38" spans="1:8" ht="15.75">
      <c r="A38" s="8"/>
      <c r="B38" s="27"/>
      <c r="C38" s="27"/>
      <c r="D38" s="27"/>
      <c r="E38" s="27"/>
      <c r="F38" s="27"/>
      <c r="G38" s="31"/>
      <c r="H38" s="8"/>
    </row>
    <row r="39" spans="1:8" ht="15.75">
      <c r="A39" s="8"/>
      <c r="B39" s="27"/>
      <c r="C39" s="27"/>
      <c r="D39" s="27"/>
      <c r="E39" s="27"/>
      <c r="F39" s="27"/>
      <c r="G39" s="31"/>
      <c r="H39" s="8"/>
    </row>
    <row r="40" spans="1:8" ht="15.75">
      <c r="A40" s="8"/>
      <c r="B40" s="27"/>
      <c r="C40" s="27"/>
      <c r="D40" s="27"/>
      <c r="E40" s="27"/>
      <c r="F40" s="27"/>
      <c r="G40" s="31"/>
      <c r="H40" s="8"/>
    </row>
    <row r="41" spans="1:8" ht="15.75">
      <c r="A41" s="8"/>
      <c r="B41" s="27"/>
      <c r="C41" s="27"/>
      <c r="D41" s="27"/>
      <c r="E41" s="27"/>
      <c r="F41" s="27"/>
      <c r="G41" s="31"/>
      <c r="H41" s="8"/>
    </row>
  </sheetData>
  <sheetProtection/>
  <mergeCells count="1">
    <mergeCell ref="A32:F32"/>
  </mergeCells>
  <printOptions/>
  <pageMargins left="0.7" right="0.7" top="0.75" bottom="0.75" header="0.3" footer="0.3"/>
  <pageSetup fitToHeight="1" fitToWidth="1" horizontalDpi="600" verticalDpi="600" orientation="landscape" scale="91" r:id="rId1"/>
</worksheet>
</file>

<file path=xl/worksheets/sheet5.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A28" sqref="A28"/>
    </sheetView>
  </sheetViews>
  <sheetFormatPr defaultColWidth="8.88671875" defaultRowHeight="15.75"/>
  <cols>
    <col min="1" max="1" width="39.77734375" style="0" customWidth="1"/>
    <col min="2" max="16384" width="13.77734375" style="0" customWidth="1"/>
  </cols>
  <sheetData>
    <row r="1" spans="1:5" ht="23.25">
      <c r="A1" s="28" t="s">
        <v>24</v>
      </c>
      <c r="B1" s="7"/>
      <c r="C1" s="7"/>
      <c r="D1" s="7"/>
      <c r="E1" s="8"/>
    </row>
    <row r="2" spans="1:6" ht="20.25">
      <c r="A2" s="29" t="s">
        <v>32</v>
      </c>
      <c r="B2" s="7"/>
      <c r="C2" s="7"/>
      <c r="D2" s="8"/>
      <c r="E2" s="8"/>
      <c r="F2" s="8"/>
    </row>
    <row r="3" spans="1:6" ht="20.25">
      <c r="A3" s="28" t="s">
        <v>0</v>
      </c>
      <c r="B3" s="7"/>
      <c r="C3" s="7"/>
      <c r="D3" s="8"/>
      <c r="E3" s="8"/>
      <c r="F3" s="8"/>
    </row>
    <row r="4" spans="1:6" ht="15.75">
      <c r="A4" s="8"/>
      <c r="B4" s="8"/>
      <c r="C4" s="8"/>
      <c r="D4" s="8"/>
      <c r="E4" s="8"/>
      <c r="F4" s="8"/>
    </row>
    <row r="5" spans="1:6" ht="43.5">
      <c r="A5" s="32"/>
      <c r="B5" s="33" t="s">
        <v>25</v>
      </c>
      <c r="C5" s="33" t="s">
        <v>26</v>
      </c>
      <c r="D5" s="33" t="s">
        <v>27</v>
      </c>
      <c r="E5" s="33" t="s">
        <v>28</v>
      </c>
      <c r="F5" s="33" t="s">
        <v>29</v>
      </c>
    </row>
    <row r="6" spans="1:6" ht="15.75">
      <c r="A6" s="8"/>
      <c r="B6" s="10"/>
      <c r="C6" s="8"/>
      <c r="D6" s="8"/>
      <c r="E6" s="10"/>
      <c r="F6" s="10"/>
    </row>
    <row r="7" spans="1:6" ht="15.75">
      <c r="A7" s="11" t="s">
        <v>18</v>
      </c>
      <c r="B7" s="30">
        <v>2302</v>
      </c>
      <c r="C7" s="30">
        <v>-87</v>
      </c>
      <c r="D7" s="30">
        <f>(C30)*1</f>
        <v>2381</v>
      </c>
      <c r="E7" s="30">
        <v>3008</v>
      </c>
      <c r="F7" s="30">
        <f>(B7)*1</f>
        <v>2302</v>
      </c>
    </row>
    <row r="8" spans="1:6" ht="15.75">
      <c r="A8" s="8"/>
      <c r="B8" s="10"/>
      <c r="C8" s="8"/>
      <c r="D8" s="8"/>
      <c r="E8" s="8"/>
      <c r="F8" s="18"/>
    </row>
    <row r="9" spans="1:6" ht="15.75">
      <c r="A9" s="11" t="s">
        <v>1</v>
      </c>
      <c r="B9" s="18" t="s">
        <v>2</v>
      </c>
      <c r="C9" s="18" t="s">
        <v>2</v>
      </c>
      <c r="D9" s="18" t="s">
        <v>2</v>
      </c>
      <c r="E9" s="18" t="s">
        <v>2</v>
      </c>
      <c r="F9" s="18" t="s">
        <v>2</v>
      </c>
    </row>
    <row r="10" spans="1:6" ht="15.75">
      <c r="A10" s="11" t="s">
        <v>17</v>
      </c>
      <c r="B10" s="14">
        <f>3069+783+2164</f>
        <v>6016</v>
      </c>
      <c r="C10" s="14">
        <f>1575+1669+2571</f>
        <v>5815</v>
      </c>
      <c r="D10" s="14">
        <f>1610+1329+2732</f>
        <v>5671</v>
      </c>
      <c r="E10" s="14">
        <f>2575+1955+1862</f>
        <v>6392</v>
      </c>
      <c r="F10" s="14">
        <f aca="true" t="shared" si="0" ref="F10:F16">SUM(B10:E10)</f>
        <v>23894</v>
      </c>
    </row>
    <row r="11" spans="1:6" ht="15.75">
      <c r="A11" s="11" t="s">
        <v>3</v>
      </c>
      <c r="B11" s="37">
        <f>669+589+858</f>
        <v>2116</v>
      </c>
      <c r="C11" s="37">
        <f>666+666+863</f>
        <v>2195</v>
      </c>
      <c r="D11" s="37">
        <f>669+688+931</f>
        <v>2288</v>
      </c>
      <c r="E11" s="37">
        <f>754+603+839</f>
        <v>2196</v>
      </c>
      <c r="F11" s="14">
        <f t="shared" si="0"/>
        <v>8795</v>
      </c>
    </row>
    <row r="12" spans="1:6" ht="15.75">
      <c r="A12" s="11" t="s">
        <v>4</v>
      </c>
      <c r="B12" s="37">
        <f>60+2+915</f>
        <v>977</v>
      </c>
      <c r="C12" s="37">
        <f>80+21+990</f>
        <v>1091</v>
      </c>
      <c r="D12" s="37">
        <f>59+132+1169</f>
        <v>1360</v>
      </c>
      <c r="E12" s="37">
        <f>122+124+1605</f>
        <v>1851</v>
      </c>
      <c r="F12" s="14">
        <f t="shared" si="0"/>
        <v>5279</v>
      </c>
    </row>
    <row r="13" spans="1:6" ht="15.75">
      <c r="A13" s="11" t="s">
        <v>5</v>
      </c>
      <c r="B13" s="37">
        <f>93+83+103</f>
        <v>279</v>
      </c>
      <c r="C13" s="37">
        <f>155+81+116</f>
        <v>352</v>
      </c>
      <c r="D13" s="37">
        <f>82+85+96</f>
        <v>263</v>
      </c>
      <c r="E13" s="37">
        <f>149+108+86</f>
        <v>343</v>
      </c>
      <c r="F13" s="14">
        <f t="shared" si="0"/>
        <v>1237</v>
      </c>
    </row>
    <row r="14" spans="1:6" ht="15.75">
      <c r="A14" s="11" t="s">
        <v>6</v>
      </c>
      <c r="B14" s="37">
        <f>90+99+253</f>
        <v>442</v>
      </c>
      <c r="C14" s="37">
        <f>139+160+586</f>
        <v>885</v>
      </c>
      <c r="D14" s="37">
        <f>147+249+226</f>
        <v>622</v>
      </c>
      <c r="E14" s="37">
        <f>163+137+846</f>
        <v>1146</v>
      </c>
      <c r="F14" s="14">
        <f t="shared" si="0"/>
        <v>3095</v>
      </c>
    </row>
    <row r="15" spans="1:6" ht="15.75">
      <c r="A15" s="11" t="s">
        <v>19</v>
      </c>
      <c r="B15" s="37">
        <f>1+13+0</f>
        <v>14</v>
      </c>
      <c r="C15" s="44">
        <v>0</v>
      </c>
      <c r="D15" s="37">
        <f>17+0+13</f>
        <v>30</v>
      </c>
      <c r="E15" s="37">
        <f>0+0+10</f>
        <v>10</v>
      </c>
      <c r="F15" s="14">
        <f t="shared" si="0"/>
        <v>54</v>
      </c>
    </row>
    <row r="16" spans="1:6" ht="15.75">
      <c r="A16" s="11" t="s">
        <v>7</v>
      </c>
      <c r="B16" s="37">
        <f>1238+243+1332</f>
        <v>2813</v>
      </c>
      <c r="C16" s="37">
        <f>837+417+1270</f>
        <v>2524</v>
      </c>
      <c r="D16" s="37">
        <f>617+411+1438</f>
        <v>2466</v>
      </c>
      <c r="E16" s="37">
        <f>1615+459+2216</f>
        <v>4290</v>
      </c>
      <c r="F16" s="14">
        <f t="shared" si="0"/>
        <v>12093</v>
      </c>
    </row>
    <row r="17" spans="1:6" ht="15.75">
      <c r="A17" s="8"/>
      <c r="B17" s="30"/>
      <c r="C17" s="30"/>
      <c r="D17" s="30"/>
      <c r="E17" s="30"/>
      <c r="F17" s="30"/>
    </row>
    <row r="18" spans="1:6" ht="15.75">
      <c r="A18" s="11" t="s">
        <v>8</v>
      </c>
      <c r="B18" s="30">
        <v>12657</v>
      </c>
      <c r="C18" s="30">
        <v>12862</v>
      </c>
      <c r="D18" s="30">
        <v>12700</v>
      </c>
      <c r="E18" s="30">
        <v>16228</v>
      </c>
      <c r="F18" s="30">
        <v>54447</v>
      </c>
    </row>
    <row r="19" spans="1:6" ht="15.75">
      <c r="A19" s="8"/>
      <c r="B19" s="37"/>
      <c r="C19" s="37"/>
      <c r="D19" s="30"/>
      <c r="E19" s="30"/>
      <c r="F19" s="37"/>
    </row>
    <row r="20" spans="1:6" ht="15.75">
      <c r="A20" s="11" t="s">
        <v>9</v>
      </c>
      <c r="B20" s="37"/>
      <c r="C20" s="37"/>
      <c r="D20" s="37"/>
      <c r="E20" s="37"/>
      <c r="F20" s="37"/>
    </row>
    <row r="21" spans="1:6" ht="15.75">
      <c r="A21" s="11" t="s">
        <v>10</v>
      </c>
      <c r="B21" s="37">
        <f>1751+3497+5853</f>
        <v>11101</v>
      </c>
      <c r="C21" s="37">
        <f>1017+1904+3117</f>
        <v>6038</v>
      </c>
      <c r="D21" s="37">
        <f>1355+2337+4131</f>
        <v>7823</v>
      </c>
      <c r="E21" s="37">
        <f>1253+1564+9427</f>
        <v>12244</v>
      </c>
      <c r="F21" s="14">
        <f>SUM(B21:E21)</f>
        <v>37206</v>
      </c>
    </row>
    <row r="22" spans="1:6" ht="15.75">
      <c r="A22" s="11" t="s">
        <v>11</v>
      </c>
      <c r="B22" s="37">
        <f>657+655+737</f>
        <v>2049</v>
      </c>
      <c r="C22" s="37">
        <f>790+645+797</f>
        <v>2232</v>
      </c>
      <c r="D22" s="37">
        <f>528+587+715</f>
        <v>1830</v>
      </c>
      <c r="E22" s="37">
        <f>485+548+829</f>
        <v>1862</v>
      </c>
      <c r="F22" s="14">
        <f>SUM(B22:E22)</f>
        <v>7973</v>
      </c>
    </row>
    <row r="23" spans="1:6" ht="15.75">
      <c r="A23" s="11" t="s">
        <v>12</v>
      </c>
      <c r="B23" s="37">
        <f>122+30+485</f>
        <v>637</v>
      </c>
      <c r="C23" s="37">
        <f>112+348+298</f>
        <v>758</v>
      </c>
      <c r="D23" s="37">
        <f>439+317+147</f>
        <v>903</v>
      </c>
      <c r="E23" s="37">
        <f>412+79+1398</f>
        <v>1889</v>
      </c>
      <c r="F23" s="14">
        <f>SUM(B23:E23)</f>
        <v>4187</v>
      </c>
    </row>
    <row r="24" spans="1:6" ht="15.75">
      <c r="A24" s="11" t="s">
        <v>13</v>
      </c>
      <c r="B24" s="37">
        <f>718+256+285</f>
        <v>1259</v>
      </c>
      <c r="C24" s="37">
        <f>856+179+331</f>
        <v>1366</v>
      </c>
      <c r="D24" s="37">
        <f>1004+220+293</f>
        <v>1517</v>
      </c>
      <c r="E24" s="37">
        <f>619+393+853</f>
        <v>1865</v>
      </c>
      <c r="F24" s="14">
        <f>SUM(B24:E24)</f>
        <v>6007</v>
      </c>
    </row>
    <row r="25" spans="1:6" ht="15.75">
      <c r="A25" s="8"/>
      <c r="B25" s="10"/>
      <c r="C25" s="27"/>
      <c r="D25" s="27"/>
      <c r="E25" s="27"/>
      <c r="F25" s="27"/>
    </row>
    <row r="26" spans="1:6" ht="15.75">
      <c r="A26" s="11" t="s">
        <v>14</v>
      </c>
      <c r="B26" s="30">
        <v>15046</v>
      </c>
      <c r="C26" s="30">
        <v>10394</v>
      </c>
      <c r="D26" s="30">
        <v>12073</v>
      </c>
      <c r="E26" s="30">
        <v>17860</v>
      </c>
      <c r="F26" s="30">
        <v>55373</v>
      </c>
    </row>
    <row r="27" spans="1:6" ht="15.75">
      <c r="A27" s="8"/>
      <c r="B27" s="30"/>
      <c r="C27" s="30"/>
      <c r="D27" s="30"/>
      <c r="E27" s="30"/>
      <c r="F27" s="30"/>
    </row>
    <row r="28" spans="1:6" ht="15.75">
      <c r="A28" s="11" t="s">
        <v>22</v>
      </c>
      <c r="B28" s="30">
        <v>-2389</v>
      </c>
      <c r="C28" s="30">
        <v>2468</v>
      </c>
      <c r="D28" s="30">
        <v>627</v>
      </c>
      <c r="E28" s="30">
        <v>-1632</v>
      </c>
      <c r="F28" s="30">
        <v>-926</v>
      </c>
    </row>
    <row r="29" spans="1:6" ht="15.75">
      <c r="A29" s="8"/>
      <c r="B29" s="30"/>
      <c r="C29" s="30"/>
      <c r="D29" s="30"/>
      <c r="E29" s="30"/>
      <c r="F29" s="30"/>
    </row>
    <row r="30" spans="1:6" ht="15.75">
      <c r="A30" s="11" t="s">
        <v>15</v>
      </c>
      <c r="B30" s="30">
        <v>-87</v>
      </c>
      <c r="C30" s="30">
        <v>2381</v>
      </c>
      <c r="D30" s="30">
        <v>3008</v>
      </c>
      <c r="E30" s="30">
        <v>1376</v>
      </c>
      <c r="F30" s="30">
        <v>1376</v>
      </c>
    </row>
    <row r="31" spans="1:6" ht="15.75">
      <c r="A31" s="9"/>
      <c r="B31" s="22"/>
      <c r="C31" s="22"/>
      <c r="D31" s="22"/>
      <c r="E31" s="22"/>
      <c r="F31" s="22"/>
    </row>
    <row r="32" spans="1:6" ht="38.25" customHeight="1">
      <c r="A32" s="40" t="s">
        <v>33</v>
      </c>
      <c r="B32" s="40"/>
      <c r="C32" s="40"/>
      <c r="D32" s="40"/>
      <c r="E32" s="40"/>
      <c r="F32" s="40"/>
    </row>
    <row r="33" spans="1:6" ht="15.75">
      <c r="A33" s="25"/>
      <c r="B33" s="24"/>
      <c r="C33" s="24"/>
      <c r="D33" s="24"/>
      <c r="E33" s="24"/>
      <c r="F33" s="24"/>
    </row>
    <row r="34" spans="1:6" ht="15.75">
      <c r="A34" s="26"/>
      <c r="B34" s="26"/>
      <c r="C34" s="26"/>
      <c r="D34" s="26"/>
      <c r="E34" s="26"/>
      <c r="F34" s="26"/>
    </row>
    <row r="35" spans="1:6" ht="15.75">
      <c r="A35" s="7" t="s">
        <v>16</v>
      </c>
      <c r="B35" s="20"/>
      <c r="C35" s="20"/>
      <c r="D35" s="20"/>
      <c r="E35" s="27"/>
      <c r="F35" s="27"/>
    </row>
    <row r="36" spans="1:6" ht="15.75">
      <c r="A36" s="7"/>
      <c r="B36" s="20"/>
      <c r="C36" s="20"/>
      <c r="D36" s="20"/>
      <c r="E36" s="27"/>
      <c r="F36" s="27"/>
    </row>
    <row r="37" spans="1:6" ht="15.75">
      <c r="A37" s="7"/>
      <c r="B37" s="20"/>
      <c r="C37" s="20"/>
      <c r="D37" s="20"/>
      <c r="E37" s="27"/>
      <c r="F37" s="27"/>
    </row>
    <row r="38" spans="1:6" ht="15.75">
      <c r="A38" s="8"/>
      <c r="B38" s="27"/>
      <c r="C38" s="27"/>
      <c r="D38" s="27"/>
      <c r="E38" s="27"/>
      <c r="F38" s="27"/>
    </row>
  </sheetData>
  <sheetProtection/>
  <mergeCells count="1">
    <mergeCell ref="A32:F32"/>
  </mergeCells>
  <printOptions/>
  <pageMargins left="0.7" right="0.7" top="0.75" bottom="0.75" header="0.3" footer="0.3"/>
  <pageSetup fitToHeight="1" fitToWidth="1" horizontalDpi="600" verticalDpi="600" orientation="landscape" scale="89" r:id="rId1"/>
</worksheet>
</file>

<file path=xl/worksheets/sheet6.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A28" sqref="A28"/>
    </sheetView>
  </sheetViews>
  <sheetFormatPr defaultColWidth="8.88671875" defaultRowHeight="15.75"/>
  <cols>
    <col min="1" max="1" width="39.77734375" style="0" customWidth="1"/>
    <col min="2" max="16384" width="13.77734375" style="0" customWidth="1"/>
  </cols>
  <sheetData>
    <row r="1" spans="1:8" ht="23.25">
      <c r="A1" s="28" t="s">
        <v>24</v>
      </c>
      <c r="B1" s="7"/>
      <c r="C1" s="7"/>
      <c r="D1" s="7"/>
      <c r="E1" s="8"/>
      <c r="G1" s="31"/>
      <c r="H1" s="8"/>
    </row>
    <row r="2" spans="1:8" ht="20.25">
      <c r="A2" s="29" t="s">
        <v>34</v>
      </c>
      <c r="B2" s="7"/>
      <c r="C2" s="7"/>
      <c r="D2" s="8"/>
      <c r="E2" s="8"/>
      <c r="F2" s="8"/>
      <c r="G2" s="31"/>
      <c r="H2" s="8"/>
    </row>
    <row r="3" spans="1:8" ht="20.25">
      <c r="A3" s="28" t="s">
        <v>0</v>
      </c>
      <c r="B3" s="7"/>
      <c r="C3" s="7"/>
      <c r="D3" s="8"/>
      <c r="E3" s="8"/>
      <c r="F3" s="8"/>
      <c r="G3" s="31"/>
      <c r="H3" s="8"/>
    </row>
    <row r="4" spans="1:8" ht="15.75">
      <c r="A4" s="8"/>
      <c r="B4" s="8"/>
      <c r="C4" s="8"/>
      <c r="D4" s="8"/>
      <c r="E4" s="8"/>
      <c r="F4" s="8"/>
      <c r="G4" s="31"/>
      <c r="H4" s="8"/>
    </row>
    <row r="5" spans="1:8" ht="43.5">
      <c r="A5" s="32"/>
      <c r="B5" s="33" t="s">
        <v>25</v>
      </c>
      <c r="C5" s="33" t="s">
        <v>26</v>
      </c>
      <c r="D5" s="33" t="s">
        <v>27</v>
      </c>
      <c r="E5" s="33" t="s">
        <v>28</v>
      </c>
      <c r="F5" s="33" t="s">
        <v>29</v>
      </c>
      <c r="G5" s="31"/>
      <c r="H5" s="8"/>
    </row>
    <row r="6" spans="1:8" ht="15.75">
      <c r="A6" s="8"/>
      <c r="B6" s="10"/>
      <c r="C6" s="8"/>
      <c r="D6" s="8"/>
      <c r="E6" s="10"/>
      <c r="F6" s="10"/>
      <c r="G6" s="31"/>
      <c r="H6" s="8"/>
    </row>
    <row r="7" spans="1:8" ht="15.75">
      <c r="A7" s="11" t="s">
        <v>18</v>
      </c>
      <c r="B7" s="30">
        <v>1948</v>
      </c>
      <c r="C7" s="30">
        <f>(B30)*1</f>
        <v>1027</v>
      </c>
      <c r="D7" s="30">
        <f>(C30)*1</f>
        <v>2430</v>
      </c>
      <c r="E7" s="30">
        <f>(D30)*1</f>
        <v>-205</v>
      </c>
      <c r="F7" s="30">
        <f>(B7)*1</f>
        <v>1948</v>
      </c>
      <c r="G7" s="31"/>
      <c r="H7" s="30"/>
    </row>
    <row r="8" spans="1:8" ht="15.75">
      <c r="A8" s="8"/>
      <c r="B8" s="8"/>
      <c r="C8" s="8"/>
      <c r="D8" s="8"/>
      <c r="E8" s="8"/>
      <c r="F8" s="18"/>
      <c r="G8" s="31"/>
      <c r="H8" s="8"/>
    </row>
    <row r="9" spans="1:8" ht="15.75">
      <c r="A9" s="11" t="s">
        <v>1</v>
      </c>
      <c r="B9" s="18" t="s">
        <v>2</v>
      </c>
      <c r="C9" s="18" t="s">
        <v>2</v>
      </c>
      <c r="D9" s="18" t="s">
        <v>2</v>
      </c>
      <c r="E9" s="18" t="s">
        <v>2</v>
      </c>
      <c r="F9" s="18" t="s">
        <v>2</v>
      </c>
      <c r="G9" s="31"/>
      <c r="H9" s="8"/>
    </row>
    <row r="10" spans="1:8" ht="15.75">
      <c r="A10" s="11" t="s">
        <v>17</v>
      </c>
      <c r="B10" s="14">
        <f>2867+744+2058</f>
        <v>5669</v>
      </c>
      <c r="C10" s="14">
        <f>1630+1478+2352</f>
        <v>5460</v>
      </c>
      <c r="D10" s="14">
        <f>1415+1264+718</f>
        <v>3397</v>
      </c>
      <c r="E10" s="14">
        <f>3908+2321+1900</f>
        <v>8129</v>
      </c>
      <c r="F10" s="14">
        <f aca="true" t="shared" si="0" ref="F10:F16">SUM(B10:E10)</f>
        <v>22655</v>
      </c>
      <c r="G10" s="31"/>
      <c r="H10" s="30"/>
    </row>
    <row r="11" spans="1:8" ht="15.75">
      <c r="A11" s="11" t="s">
        <v>3</v>
      </c>
      <c r="B11" s="37">
        <f>608+589+799</f>
        <v>1996</v>
      </c>
      <c r="C11" s="37">
        <f>608+613+855</f>
        <v>2076</v>
      </c>
      <c r="D11" s="37">
        <f>631+604+818</f>
        <v>2053</v>
      </c>
      <c r="E11" s="37">
        <f>669+555+737</f>
        <v>1961</v>
      </c>
      <c r="F11" s="14">
        <f t="shared" si="0"/>
        <v>8086</v>
      </c>
      <c r="G11" s="31"/>
      <c r="H11" s="30"/>
    </row>
    <row r="12" spans="1:8" ht="15.75">
      <c r="A12" s="11" t="s">
        <v>4</v>
      </c>
      <c r="B12" s="37">
        <f>61+-16+1195</f>
        <v>1240</v>
      </c>
      <c r="C12" s="37">
        <f>35+108+1010</f>
        <v>1153</v>
      </c>
      <c r="D12" s="37">
        <f>155+82+918</f>
        <v>1155</v>
      </c>
      <c r="E12" s="37">
        <f>154+43+1626</f>
        <v>1823</v>
      </c>
      <c r="F12" s="14">
        <f t="shared" si="0"/>
        <v>5371</v>
      </c>
      <c r="G12" s="31"/>
      <c r="H12" s="30"/>
    </row>
    <row r="13" spans="1:8" ht="15.75">
      <c r="A13" s="11" t="s">
        <v>5</v>
      </c>
      <c r="B13" s="37">
        <f>51+97+65</f>
        <v>213</v>
      </c>
      <c r="C13" s="37">
        <f>83+63+139</f>
        <v>285</v>
      </c>
      <c r="D13" s="37">
        <f>61+67+72</f>
        <v>200</v>
      </c>
      <c r="E13" s="37">
        <f>50+67+70</f>
        <v>187</v>
      </c>
      <c r="F13" s="14">
        <f t="shared" si="0"/>
        <v>885</v>
      </c>
      <c r="G13" s="31"/>
      <c r="H13" s="30"/>
    </row>
    <row r="14" spans="1:8" ht="15.75">
      <c r="A14" s="11" t="s">
        <v>6</v>
      </c>
      <c r="B14" s="37">
        <f>87+204+258</f>
        <v>549</v>
      </c>
      <c r="C14" s="37">
        <f>-42+197+996</f>
        <v>1151</v>
      </c>
      <c r="D14" s="37">
        <f>157+193+496</f>
        <v>846</v>
      </c>
      <c r="E14" s="37">
        <f>144+157+1041</f>
        <v>1342</v>
      </c>
      <c r="F14" s="14">
        <f t="shared" si="0"/>
        <v>3888</v>
      </c>
      <c r="G14" s="31"/>
      <c r="H14" s="30"/>
    </row>
    <row r="15" spans="1:8" ht="15.75">
      <c r="A15" s="11" t="s">
        <v>19</v>
      </c>
      <c r="B15" s="37">
        <f>5+24+0</f>
        <v>29</v>
      </c>
      <c r="C15" s="37">
        <f>0+16+0</f>
        <v>16</v>
      </c>
      <c r="D15" s="37">
        <f>0+14+0</f>
        <v>14</v>
      </c>
      <c r="E15" s="37">
        <f>0+11+1</f>
        <v>12</v>
      </c>
      <c r="F15" s="14">
        <f t="shared" si="0"/>
        <v>71</v>
      </c>
      <c r="G15" s="31"/>
      <c r="H15" s="30"/>
    </row>
    <row r="16" spans="1:8" ht="15.75">
      <c r="A16" s="11" t="s">
        <v>7</v>
      </c>
      <c r="B16" s="37">
        <f>1149+436+1392</f>
        <v>2977</v>
      </c>
      <c r="C16" s="37">
        <f>761+373+1251</f>
        <v>2385</v>
      </c>
      <c r="D16" s="37">
        <f>754+316+1240</f>
        <v>2310</v>
      </c>
      <c r="E16" s="37">
        <f>1382+602+1944</f>
        <v>3928</v>
      </c>
      <c r="F16" s="14">
        <f t="shared" si="0"/>
        <v>11600</v>
      </c>
      <c r="G16" s="31"/>
      <c r="H16" s="30"/>
    </row>
    <row r="17" spans="1:8" ht="15.75">
      <c r="A17" s="8"/>
      <c r="B17" s="30"/>
      <c r="C17" s="30"/>
      <c r="D17" s="30"/>
      <c r="E17" s="30"/>
      <c r="F17" s="30"/>
      <c r="G17" s="31"/>
      <c r="H17" s="8"/>
    </row>
    <row r="18" spans="1:8" ht="15.75">
      <c r="A18" s="11" t="s">
        <v>8</v>
      </c>
      <c r="B18" s="30">
        <v>12673</v>
      </c>
      <c r="C18" s="30">
        <v>12526</v>
      </c>
      <c r="D18" s="30">
        <v>9975</v>
      </c>
      <c r="E18" s="30">
        <v>17382</v>
      </c>
      <c r="F18" s="30">
        <v>52556</v>
      </c>
      <c r="G18" s="31"/>
      <c r="H18" s="8"/>
    </row>
    <row r="19" spans="1:8" ht="15.75">
      <c r="A19" s="8"/>
      <c r="B19" s="37"/>
      <c r="C19" s="37"/>
      <c r="D19" s="30"/>
      <c r="E19" s="30"/>
      <c r="F19" s="37"/>
      <c r="G19" s="31"/>
      <c r="H19" s="8"/>
    </row>
    <row r="20" spans="1:8" ht="15.75">
      <c r="A20" s="11" t="s">
        <v>9</v>
      </c>
      <c r="B20" s="37"/>
      <c r="C20" s="37"/>
      <c r="D20" s="37"/>
      <c r="E20" s="37"/>
      <c r="F20" s="37"/>
      <c r="G20" s="31"/>
      <c r="H20" s="8"/>
    </row>
    <row r="21" spans="1:8" ht="15.75">
      <c r="A21" s="11" t="s">
        <v>10</v>
      </c>
      <c r="B21" s="37">
        <f>1754+3768+3738</f>
        <v>9260</v>
      </c>
      <c r="C21" s="37">
        <f>1661+1921+3297</f>
        <v>6879</v>
      </c>
      <c r="D21" s="37">
        <f>2300+2548+3364</f>
        <v>8212</v>
      </c>
      <c r="E21" s="37">
        <f>1483+1645+6755</f>
        <v>9883</v>
      </c>
      <c r="F21" s="14">
        <f>SUM(B21:E21)</f>
        <v>34234</v>
      </c>
      <c r="G21" s="31"/>
      <c r="H21" s="30"/>
    </row>
    <row r="22" spans="1:8" ht="15.75">
      <c r="A22" s="11" t="s">
        <v>11</v>
      </c>
      <c r="B22" s="37">
        <f>961+648+678</f>
        <v>2287</v>
      </c>
      <c r="C22" s="37">
        <f>756+752+774</f>
        <v>2282</v>
      </c>
      <c r="D22" s="37">
        <f>745+599+702</f>
        <v>2046</v>
      </c>
      <c r="E22" s="37">
        <f>545+541+886</f>
        <v>1972</v>
      </c>
      <c r="F22" s="14">
        <f>SUM(B22:E22)</f>
        <v>8587</v>
      </c>
      <c r="G22" s="31"/>
      <c r="H22" s="30"/>
    </row>
    <row r="23" spans="1:8" ht="15.75">
      <c r="A23" s="11" t="s">
        <v>12</v>
      </c>
      <c r="B23" s="37">
        <f>387+4+219</f>
        <v>610</v>
      </c>
      <c r="C23" s="37">
        <f>268+310+214</f>
        <v>792</v>
      </c>
      <c r="D23" s="37">
        <f>315+290+127</f>
        <v>732</v>
      </c>
      <c r="E23" s="37">
        <f>439+-7+1028</f>
        <v>1460</v>
      </c>
      <c r="F23" s="14">
        <f>SUM(B23:E23)</f>
        <v>3594</v>
      </c>
      <c r="G23" s="31"/>
      <c r="H23" s="30"/>
    </row>
    <row r="24" spans="1:8" ht="15.75">
      <c r="A24" s="11" t="s">
        <v>13</v>
      </c>
      <c r="B24" s="37">
        <f>875+420+142</f>
        <v>1437</v>
      </c>
      <c r="C24" s="37">
        <f>404+165+601</f>
        <v>1170</v>
      </c>
      <c r="D24" s="37">
        <f>1009+180+431</f>
        <v>1620</v>
      </c>
      <c r="E24" s="37">
        <f>396+278+886</f>
        <v>1560</v>
      </c>
      <c r="F24" s="14">
        <f>SUM(B24:E24)</f>
        <v>5787</v>
      </c>
      <c r="G24" s="31"/>
      <c r="H24" s="30"/>
    </row>
    <row r="25" spans="1:8" ht="15.75">
      <c r="A25" s="8"/>
      <c r="B25" s="10"/>
      <c r="C25" s="27"/>
      <c r="D25" s="27"/>
      <c r="E25" s="27"/>
      <c r="F25" s="27"/>
      <c r="G25" s="31"/>
      <c r="H25" s="8"/>
    </row>
    <row r="26" spans="1:8" ht="15.75">
      <c r="A26" s="11" t="s">
        <v>14</v>
      </c>
      <c r="B26" s="30">
        <v>13594</v>
      </c>
      <c r="C26" s="30">
        <v>11123</v>
      </c>
      <c r="D26" s="30">
        <v>12610</v>
      </c>
      <c r="E26" s="30">
        <v>14875</v>
      </c>
      <c r="F26" s="30">
        <v>52202</v>
      </c>
      <c r="G26" s="31"/>
      <c r="H26" s="8"/>
    </row>
    <row r="27" spans="1:8" ht="15.75">
      <c r="A27" s="8"/>
      <c r="B27" s="30"/>
      <c r="C27" s="30"/>
      <c r="D27" s="30"/>
      <c r="E27" s="30"/>
      <c r="F27" s="30"/>
      <c r="G27" s="31"/>
      <c r="H27" s="8"/>
    </row>
    <row r="28" spans="1:8" ht="15.75">
      <c r="A28" s="11" t="s">
        <v>22</v>
      </c>
      <c r="B28" s="30">
        <v>-921</v>
      </c>
      <c r="C28" s="30">
        <v>1403</v>
      </c>
      <c r="D28" s="30">
        <v>-2635</v>
      </c>
      <c r="E28" s="30">
        <v>2507</v>
      </c>
      <c r="F28" s="30">
        <v>354</v>
      </c>
      <c r="G28" s="31"/>
      <c r="H28" s="30"/>
    </row>
    <row r="29" spans="1:8" ht="15.75">
      <c r="A29" s="8"/>
      <c r="B29" s="30"/>
      <c r="C29" s="30"/>
      <c r="D29" s="30"/>
      <c r="E29" s="30"/>
      <c r="F29" s="30"/>
      <c r="G29" s="31"/>
      <c r="H29" s="8"/>
    </row>
    <row r="30" spans="1:8" ht="15.75">
      <c r="A30" s="11" t="s">
        <v>15</v>
      </c>
      <c r="B30" s="30">
        <v>1027</v>
      </c>
      <c r="C30" s="30">
        <v>2430</v>
      </c>
      <c r="D30" s="30">
        <v>-205</v>
      </c>
      <c r="E30" s="30">
        <v>2302</v>
      </c>
      <c r="F30" s="30">
        <v>2302</v>
      </c>
      <c r="G30" s="31"/>
      <c r="H30" s="8"/>
    </row>
    <row r="31" spans="1:8" ht="15.75">
      <c r="A31" s="9"/>
      <c r="B31" s="22"/>
      <c r="C31" s="22"/>
      <c r="D31" s="22"/>
      <c r="E31" s="22"/>
      <c r="F31" s="22"/>
      <c r="G31" s="31"/>
      <c r="H31" s="8"/>
    </row>
    <row r="32" spans="1:8" ht="33" customHeight="1">
      <c r="A32" s="40" t="s">
        <v>35</v>
      </c>
      <c r="B32" s="40"/>
      <c r="C32" s="40"/>
      <c r="D32" s="40"/>
      <c r="E32" s="40"/>
      <c r="F32" s="40"/>
      <c r="G32" s="31"/>
      <c r="H32" s="8"/>
    </row>
    <row r="33" spans="1:8" ht="15.75">
      <c r="A33" s="25"/>
      <c r="B33" s="24"/>
      <c r="C33" s="24"/>
      <c r="D33" s="24"/>
      <c r="E33" s="24"/>
      <c r="F33" s="24"/>
      <c r="G33" s="31"/>
      <c r="H33" s="8"/>
    </row>
    <row r="34" spans="1:8" ht="15.75">
      <c r="A34" s="26"/>
      <c r="B34" s="26"/>
      <c r="C34" s="26"/>
      <c r="D34" s="26"/>
      <c r="E34" s="26"/>
      <c r="F34" s="26"/>
      <c r="G34" s="31"/>
      <c r="H34" s="8"/>
    </row>
    <row r="35" spans="1:8" ht="15.75">
      <c r="A35" s="7" t="s">
        <v>16</v>
      </c>
      <c r="B35" s="20"/>
      <c r="C35" s="20"/>
      <c r="D35" s="20"/>
      <c r="E35" s="27"/>
      <c r="F35" s="27"/>
      <c r="G35" s="31"/>
      <c r="H35" s="8"/>
    </row>
    <row r="36" spans="1:8" ht="15.75">
      <c r="A36" s="7"/>
      <c r="B36" s="20"/>
      <c r="C36" s="20"/>
      <c r="D36" s="20"/>
      <c r="E36" s="27"/>
      <c r="F36" s="27"/>
      <c r="G36" s="31"/>
      <c r="H36" s="8"/>
    </row>
    <row r="37" spans="1:8" ht="15.75">
      <c r="A37" s="7"/>
      <c r="B37" s="20"/>
      <c r="C37" s="20"/>
      <c r="D37" s="20"/>
      <c r="E37" s="27"/>
      <c r="F37" s="27"/>
      <c r="G37" s="31"/>
      <c r="H37" s="8"/>
    </row>
    <row r="38" spans="1:8" ht="15.75">
      <c r="A38" s="8"/>
      <c r="B38" s="27"/>
      <c r="C38" s="27"/>
      <c r="D38" s="27"/>
      <c r="E38" s="27"/>
      <c r="F38" s="27"/>
      <c r="G38" s="31"/>
      <c r="H38" s="8"/>
    </row>
    <row r="39" spans="1:8" ht="15.75">
      <c r="A39" s="8"/>
      <c r="B39" s="27"/>
      <c r="C39" s="27"/>
      <c r="D39" s="27"/>
      <c r="E39" s="27"/>
      <c r="F39" s="27"/>
      <c r="G39" s="31"/>
      <c r="H39" s="8"/>
    </row>
    <row r="40" spans="1:8" ht="15.75">
      <c r="A40" s="8"/>
      <c r="B40" s="27"/>
      <c r="C40" s="27"/>
      <c r="D40" s="27"/>
      <c r="E40" s="27"/>
      <c r="F40" s="27"/>
      <c r="G40" s="31"/>
      <c r="H40" s="8"/>
    </row>
  </sheetData>
  <sheetProtection/>
  <mergeCells count="1">
    <mergeCell ref="A32:F32"/>
  </mergeCells>
  <printOptions/>
  <pageMargins left="0.7" right="0.7" top="0.75" bottom="0.75" header="0.3" footer="0.3"/>
  <pageSetup fitToHeight="1" fitToWidth="1" horizontalDpi="600" verticalDpi="600" orientation="landscape" scale="90" r:id="rId1"/>
</worksheet>
</file>

<file path=xl/worksheets/sheet7.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28" sqref="A28"/>
    </sheetView>
  </sheetViews>
  <sheetFormatPr defaultColWidth="8.88671875" defaultRowHeight="15.75"/>
  <cols>
    <col min="1" max="1" width="39.77734375" style="0" customWidth="1"/>
    <col min="2" max="16384" width="13.77734375" style="0" customWidth="1"/>
  </cols>
  <sheetData>
    <row r="1" spans="1:5" ht="23.25">
      <c r="A1" s="28" t="s">
        <v>24</v>
      </c>
      <c r="B1" s="7"/>
      <c r="C1" s="7"/>
      <c r="D1" s="7"/>
      <c r="E1" s="8"/>
    </row>
    <row r="2" spans="1:6" ht="20.25">
      <c r="A2" s="29" t="s">
        <v>36</v>
      </c>
      <c r="B2" s="7"/>
      <c r="C2" s="7"/>
      <c r="D2" s="8"/>
      <c r="E2" s="8"/>
      <c r="F2" s="8"/>
    </row>
    <row r="3" spans="1:6" ht="20.25">
      <c r="A3" s="28" t="s">
        <v>0</v>
      </c>
      <c r="B3" s="7"/>
      <c r="C3" s="7"/>
      <c r="D3" s="8"/>
      <c r="E3" s="8"/>
      <c r="F3" s="8"/>
    </row>
    <row r="4" spans="1:6" ht="15.75">
      <c r="A4" s="8"/>
      <c r="B4" s="8"/>
      <c r="C4" s="8"/>
      <c r="D4" s="8"/>
      <c r="E4" s="8"/>
      <c r="F4" s="8"/>
    </row>
    <row r="5" spans="1:6" ht="43.5">
      <c r="A5" s="32"/>
      <c r="B5" s="33" t="s">
        <v>25</v>
      </c>
      <c r="C5" s="33" t="s">
        <v>26</v>
      </c>
      <c r="D5" s="33" t="s">
        <v>27</v>
      </c>
      <c r="E5" s="33" t="s">
        <v>28</v>
      </c>
      <c r="F5" s="33" t="s">
        <v>29</v>
      </c>
    </row>
    <row r="6" spans="1:6" ht="15.75">
      <c r="A6" s="8"/>
      <c r="B6" s="10"/>
      <c r="C6" s="8"/>
      <c r="D6" s="8"/>
      <c r="E6" s="10"/>
      <c r="F6" s="10"/>
    </row>
    <row r="7" spans="1:6" ht="15.75">
      <c r="A7" s="11" t="s">
        <v>18</v>
      </c>
      <c r="B7" s="30">
        <v>2754</v>
      </c>
      <c r="C7" s="30">
        <v>3618</v>
      </c>
      <c r="D7" s="30">
        <v>5673</v>
      </c>
      <c r="E7" s="30">
        <v>1734</v>
      </c>
      <c r="F7" s="30">
        <v>2754</v>
      </c>
    </row>
    <row r="8" spans="1:6" ht="15.75">
      <c r="A8" s="8"/>
      <c r="B8" s="42"/>
      <c r="C8" s="10"/>
      <c r="D8" s="8"/>
      <c r="E8" s="10"/>
      <c r="F8" s="10"/>
    </row>
    <row r="9" spans="1:6" ht="15.75">
      <c r="A9" s="11" t="s">
        <v>1</v>
      </c>
      <c r="B9" s="18" t="s">
        <v>2</v>
      </c>
      <c r="C9" s="18" t="s">
        <v>2</v>
      </c>
      <c r="D9" s="18" t="s">
        <v>2</v>
      </c>
      <c r="E9" s="18" t="s">
        <v>2</v>
      </c>
      <c r="F9" s="18" t="s">
        <v>2</v>
      </c>
    </row>
    <row r="10" spans="1:6" ht="15.75">
      <c r="A10" s="11" t="s">
        <v>17</v>
      </c>
      <c r="B10" s="14">
        <f>5613+850+2382</f>
        <v>8845</v>
      </c>
      <c r="C10" s="14">
        <f>1715+1540+2099</f>
        <v>5354</v>
      </c>
      <c r="D10" s="14">
        <f>252-70+1856</f>
        <v>2038</v>
      </c>
      <c r="E10" s="14">
        <f>4359+1371+1229</f>
        <v>6959</v>
      </c>
      <c r="F10" s="14">
        <f aca="true" t="shared" si="0" ref="F10:F16">SUM(B10:E10)</f>
        <v>23196</v>
      </c>
    </row>
    <row r="11" spans="1:6" ht="15.75">
      <c r="A11" s="11" t="s">
        <v>3</v>
      </c>
      <c r="B11" s="37">
        <f>637+651+847</f>
        <v>2135</v>
      </c>
      <c r="C11" s="37">
        <f>704+684+877</f>
        <v>2265</v>
      </c>
      <c r="D11" s="37">
        <f>645+631+779</f>
        <v>2055</v>
      </c>
      <c r="E11" s="37">
        <f>683+545+678</f>
        <v>1906</v>
      </c>
      <c r="F11" s="14">
        <f t="shared" si="0"/>
        <v>8361</v>
      </c>
    </row>
    <row r="12" spans="1:6" ht="15.75">
      <c r="A12" s="11" t="s">
        <v>4</v>
      </c>
      <c r="B12" s="37">
        <f>104-17+948</f>
        <v>1035</v>
      </c>
      <c r="C12" s="37">
        <f>59+85+1218</f>
        <v>1362</v>
      </c>
      <c r="D12" s="37">
        <f>36+64+1362</f>
        <v>1462</v>
      </c>
      <c r="E12" s="37">
        <f>52+167+1478</f>
        <v>1697</v>
      </c>
      <c r="F12" s="14">
        <f t="shared" si="0"/>
        <v>5556</v>
      </c>
    </row>
    <row r="13" spans="1:6" ht="15.75">
      <c r="A13" s="11" t="s">
        <v>5</v>
      </c>
      <c r="B13" s="37">
        <f>102+134+80</f>
        <v>316</v>
      </c>
      <c r="C13" s="37">
        <f>294+82+64</f>
        <v>440</v>
      </c>
      <c r="D13" s="37">
        <f>89+80+100</f>
        <v>269</v>
      </c>
      <c r="E13" s="37">
        <f>114+45+4</f>
        <v>163</v>
      </c>
      <c r="F13" s="14">
        <f t="shared" si="0"/>
        <v>1188</v>
      </c>
    </row>
    <row r="14" spans="1:6" ht="15.75">
      <c r="A14" s="11" t="s">
        <v>6</v>
      </c>
      <c r="B14" s="37">
        <f>116+189+279</f>
        <v>584</v>
      </c>
      <c r="C14" s="37">
        <f>79+118+223</f>
        <v>420</v>
      </c>
      <c r="D14" s="37">
        <f>126+233+236</f>
        <v>595</v>
      </c>
      <c r="E14" s="37">
        <f>539+424+543</f>
        <v>1506</v>
      </c>
      <c r="F14" s="14">
        <f t="shared" si="0"/>
        <v>3105</v>
      </c>
    </row>
    <row r="15" spans="1:6" ht="15.75">
      <c r="A15" s="11" t="s">
        <v>19</v>
      </c>
      <c r="B15" s="37">
        <f>3+0+0</f>
        <v>3</v>
      </c>
      <c r="C15" s="37">
        <f>13+0+14</f>
        <v>27</v>
      </c>
      <c r="D15" s="37">
        <f>0+0+14</f>
        <v>14</v>
      </c>
      <c r="E15" s="37">
        <f>0+0+1</f>
        <v>1</v>
      </c>
      <c r="F15" s="14">
        <f t="shared" si="0"/>
        <v>45</v>
      </c>
    </row>
    <row r="16" spans="1:6" ht="15.75">
      <c r="A16" s="11" t="s">
        <v>7</v>
      </c>
      <c r="B16" s="37">
        <f>2099+303+1470</f>
        <v>3872</v>
      </c>
      <c r="C16" s="37">
        <f>902+519+1330</f>
        <v>2751</v>
      </c>
      <c r="D16" s="37">
        <f>730+288+1318</f>
        <v>2336</v>
      </c>
      <c r="E16" s="37">
        <f>1592+181+1618</f>
        <v>3391</v>
      </c>
      <c r="F16" s="14">
        <f t="shared" si="0"/>
        <v>12350</v>
      </c>
    </row>
    <row r="17" spans="1:6" ht="15.75">
      <c r="A17" s="8"/>
      <c r="B17" s="30"/>
      <c r="C17" s="30"/>
      <c r="D17" s="30"/>
      <c r="E17" s="30"/>
      <c r="F17" s="30"/>
    </row>
    <row r="18" spans="1:6" ht="15.75">
      <c r="A18" s="11" t="s">
        <v>8</v>
      </c>
      <c r="B18" s="30">
        <v>16790</v>
      </c>
      <c r="C18" s="30">
        <v>12619</v>
      </c>
      <c r="D18" s="30">
        <v>8769</v>
      </c>
      <c r="E18" s="30">
        <v>15623</v>
      </c>
      <c r="F18" s="30">
        <v>53801</v>
      </c>
    </row>
    <row r="19" spans="1:6" ht="15.75">
      <c r="A19" s="8"/>
      <c r="B19" s="30"/>
      <c r="C19" s="30"/>
      <c r="D19" s="30"/>
      <c r="E19" s="30"/>
      <c r="F19" s="30"/>
    </row>
    <row r="20" spans="1:6" ht="15.75">
      <c r="A20" s="11" t="s">
        <v>9</v>
      </c>
      <c r="B20" s="37"/>
      <c r="C20" s="37"/>
      <c r="D20" s="37"/>
      <c r="E20" s="37"/>
      <c r="F20" s="37"/>
    </row>
    <row r="21" spans="1:6" ht="15.75">
      <c r="A21" s="11" t="s">
        <v>10</v>
      </c>
      <c r="B21" s="37">
        <f>1611+3971+4837</f>
        <v>10419</v>
      </c>
      <c r="C21" s="37">
        <f>1602+1491+3112</f>
        <v>6205</v>
      </c>
      <c r="D21" s="37">
        <f>2169+2801+3430</f>
        <v>8400</v>
      </c>
      <c r="E21" s="37">
        <f>2102+1856+8058</f>
        <v>12016</v>
      </c>
      <c r="F21" s="14">
        <f>SUM(B21:E21)</f>
        <v>37040</v>
      </c>
    </row>
    <row r="22" spans="1:6" ht="15.75">
      <c r="A22" s="11" t="s">
        <v>11</v>
      </c>
      <c r="B22" s="37">
        <f>1001+625+667</f>
        <v>2293</v>
      </c>
      <c r="C22" s="37">
        <f>859+713+686</f>
        <v>2258</v>
      </c>
      <c r="D22" s="37">
        <f>838+611+708</f>
        <v>2157</v>
      </c>
      <c r="E22" s="37">
        <f>575+542+487</f>
        <v>1604</v>
      </c>
      <c r="F22" s="14">
        <f>SUM(B22:E22)</f>
        <v>8312</v>
      </c>
    </row>
    <row r="23" spans="1:6" ht="15.75">
      <c r="A23" s="11" t="s">
        <v>12</v>
      </c>
      <c r="B23" s="37">
        <f>489+1020-142</f>
        <v>1367</v>
      </c>
      <c r="C23" s="37">
        <f>341+278+19</f>
        <v>638</v>
      </c>
      <c r="D23" s="37">
        <f>376+39+168</f>
        <v>583</v>
      </c>
      <c r="E23" s="37">
        <f>296+118+82</f>
        <v>496</v>
      </c>
      <c r="F23" s="14">
        <f>SUM(B23:E23)</f>
        <v>3084</v>
      </c>
    </row>
    <row r="24" spans="1:6" ht="15.75">
      <c r="A24" s="11" t="s">
        <v>13</v>
      </c>
      <c r="B24" s="37">
        <f>738+537+572</f>
        <v>1847</v>
      </c>
      <c r="C24" s="37">
        <f>348+384+731</f>
        <v>1463</v>
      </c>
      <c r="D24" s="37">
        <f>280+497+791</f>
        <v>1568</v>
      </c>
      <c r="E24" s="37">
        <f>347+363+583</f>
        <v>1293</v>
      </c>
      <c r="F24" s="14">
        <f>SUM(B24:E24)</f>
        <v>6171</v>
      </c>
    </row>
    <row r="25" spans="1:6" ht="15.75">
      <c r="A25" s="8"/>
      <c r="B25" s="10"/>
      <c r="C25" s="27"/>
      <c r="D25" s="27"/>
      <c r="E25" s="27"/>
      <c r="F25" s="27"/>
    </row>
    <row r="26" spans="1:6" ht="15.75">
      <c r="A26" s="11" t="s">
        <v>14</v>
      </c>
      <c r="B26" s="30">
        <v>15926</v>
      </c>
      <c r="C26" s="30">
        <v>10564</v>
      </c>
      <c r="D26" s="30">
        <v>12708</v>
      </c>
      <c r="E26" s="30">
        <v>15409</v>
      </c>
      <c r="F26" s="30">
        <v>54607</v>
      </c>
    </row>
    <row r="27" spans="1:6" ht="15.75">
      <c r="A27" s="41"/>
      <c r="B27" s="30"/>
      <c r="C27" s="30"/>
      <c r="D27" s="30"/>
      <c r="E27" s="30"/>
      <c r="F27" s="30"/>
    </row>
    <row r="28" spans="1:6" ht="15.75">
      <c r="A28" s="11" t="s">
        <v>22</v>
      </c>
      <c r="B28" s="30">
        <v>864</v>
      </c>
      <c r="C28" s="30">
        <v>2055</v>
      </c>
      <c r="D28" s="30">
        <v>-3939</v>
      </c>
      <c r="E28" s="30">
        <v>214</v>
      </c>
      <c r="F28" s="30">
        <v>-806</v>
      </c>
    </row>
    <row r="29" spans="1:6" ht="15.75">
      <c r="A29" s="8"/>
      <c r="B29" s="30"/>
      <c r="C29" s="30"/>
      <c r="D29" s="30"/>
      <c r="E29" s="30"/>
      <c r="F29" s="30"/>
    </row>
    <row r="30" spans="1:6" ht="15.75">
      <c r="A30" s="11" t="s">
        <v>15</v>
      </c>
      <c r="B30" s="30">
        <v>3618</v>
      </c>
      <c r="C30" s="30">
        <v>5673</v>
      </c>
      <c r="D30" s="30">
        <v>1734</v>
      </c>
      <c r="E30" s="30">
        <v>1948</v>
      </c>
      <c r="F30" s="30">
        <v>1948</v>
      </c>
    </row>
    <row r="31" spans="1:6" ht="15.75">
      <c r="A31" s="9"/>
      <c r="B31" s="22"/>
      <c r="C31" s="22"/>
      <c r="D31" s="22"/>
      <c r="E31" s="22"/>
      <c r="F31" s="22"/>
    </row>
    <row r="32" spans="1:6" ht="33.75" customHeight="1">
      <c r="A32" s="47" t="s">
        <v>37</v>
      </c>
      <c r="B32" s="47"/>
      <c r="C32" s="47"/>
      <c r="D32" s="47"/>
      <c r="E32" s="47"/>
      <c r="F32" s="47"/>
    </row>
    <row r="33" spans="1:6" ht="15.75">
      <c r="A33" s="45"/>
      <c r="B33" s="45"/>
      <c r="C33" s="45"/>
      <c r="D33" s="45"/>
      <c r="E33" s="45"/>
      <c r="F33" s="45"/>
    </row>
    <row r="34" spans="1:6" ht="15.75">
      <c r="A34" s="7" t="s">
        <v>16</v>
      </c>
      <c r="B34" s="20"/>
      <c r="C34" s="20"/>
      <c r="D34" s="20"/>
      <c r="E34" s="27"/>
      <c r="F34" s="27"/>
    </row>
    <row r="35" spans="1:6" ht="15.75">
      <c r="A35" s="7"/>
      <c r="B35" s="20"/>
      <c r="C35" s="20"/>
      <c r="D35" s="20"/>
      <c r="E35" s="27"/>
      <c r="F35" s="27"/>
    </row>
    <row r="36" spans="1:6" ht="15.75">
      <c r="A36" s="7"/>
      <c r="B36" s="20"/>
      <c r="C36" s="20"/>
      <c r="D36" s="20"/>
      <c r="E36" s="27"/>
      <c r="F36" s="27"/>
    </row>
    <row r="37" spans="1:6" ht="15.75">
      <c r="A37" s="8"/>
      <c r="B37" s="27"/>
      <c r="C37" s="27"/>
      <c r="D37" s="27"/>
      <c r="E37" s="27"/>
      <c r="F37" s="27"/>
    </row>
    <row r="38" spans="1:6" ht="15.75">
      <c r="A38" s="8"/>
      <c r="B38" s="27"/>
      <c r="C38" s="27"/>
      <c r="D38" s="27"/>
      <c r="E38" s="27"/>
      <c r="F38" s="27"/>
    </row>
    <row r="39" spans="1:6" ht="15.75">
      <c r="A39" s="8"/>
      <c r="B39" s="27"/>
      <c r="C39" s="27"/>
      <c r="D39" s="27"/>
      <c r="E39" s="27"/>
      <c r="F39" s="27"/>
    </row>
  </sheetData>
  <sheetProtection/>
  <mergeCells count="1">
    <mergeCell ref="A32:F32"/>
  </mergeCells>
  <printOptions/>
  <pageMargins left="0.7" right="0.7" top="0.75" bottom="0.75" header="0.3" footer="0.3"/>
  <pageSetup fitToHeight="1" fitToWidth="1" horizontalDpi="600" verticalDpi="600" orientation="landscape" scale="90" r:id="rId1"/>
</worksheet>
</file>

<file path=xl/worksheets/sheet8.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1">
      <selection activeCell="F1" sqref="F1"/>
    </sheetView>
  </sheetViews>
  <sheetFormatPr defaultColWidth="8.88671875" defaultRowHeight="15.75"/>
  <cols>
    <col min="1" max="1" width="39.77734375" style="0" customWidth="1"/>
    <col min="2" max="16384" width="13.77734375" style="0" customWidth="1"/>
  </cols>
  <sheetData>
    <row r="1" spans="1:8" ht="23.25">
      <c r="A1" s="28" t="s">
        <v>24</v>
      </c>
      <c r="B1" s="7"/>
      <c r="C1" s="7"/>
      <c r="D1" s="7"/>
      <c r="E1" s="8"/>
      <c r="G1" s="31"/>
      <c r="H1" s="8"/>
    </row>
    <row r="2" spans="1:8" ht="20.25">
      <c r="A2" s="29" t="s">
        <v>38</v>
      </c>
      <c r="B2" s="7"/>
      <c r="C2" s="7"/>
      <c r="D2" s="8"/>
      <c r="E2" s="8"/>
      <c r="F2" s="8"/>
      <c r="G2" s="31"/>
      <c r="H2" s="8"/>
    </row>
    <row r="3" spans="1:8" ht="20.25">
      <c r="A3" s="28" t="s">
        <v>0</v>
      </c>
      <c r="B3" s="7"/>
      <c r="C3" s="7"/>
      <c r="D3" s="8"/>
      <c r="E3" s="8"/>
      <c r="F3" s="8"/>
      <c r="G3" s="31"/>
      <c r="H3" s="8"/>
    </row>
    <row r="4" spans="1:8" ht="15.75">
      <c r="A4" s="8"/>
      <c r="B4" s="8"/>
      <c r="C4" s="8"/>
      <c r="D4" s="8"/>
      <c r="E4" s="8"/>
      <c r="F4" s="8"/>
      <c r="G4" s="31"/>
      <c r="H4" s="8"/>
    </row>
    <row r="5" spans="1:8" ht="43.5">
      <c r="A5" s="32"/>
      <c r="B5" s="33" t="s">
        <v>25</v>
      </c>
      <c r="C5" s="33" t="s">
        <v>26</v>
      </c>
      <c r="D5" s="33" t="s">
        <v>27</v>
      </c>
      <c r="E5" s="33" t="s">
        <v>28</v>
      </c>
      <c r="F5" s="33" t="s">
        <v>29</v>
      </c>
      <c r="G5" s="31"/>
      <c r="H5" s="8"/>
    </row>
    <row r="6" spans="1:8" ht="15.75">
      <c r="A6" s="8"/>
      <c r="B6" s="10"/>
      <c r="C6" s="8"/>
      <c r="D6" s="8"/>
      <c r="E6" s="10"/>
      <c r="F6" s="10"/>
      <c r="G6" s="31"/>
      <c r="H6" s="8"/>
    </row>
    <row r="7" spans="1:8" ht="15.75">
      <c r="A7" s="11" t="s">
        <v>18</v>
      </c>
      <c r="B7" s="30">
        <v>3045</v>
      </c>
      <c r="C7" s="30">
        <f>(B30)*1</f>
        <v>2881</v>
      </c>
      <c r="D7" s="30">
        <f>(C30)*1</f>
        <v>4142</v>
      </c>
      <c r="E7" s="30">
        <f>(D30)*1</f>
        <v>1677</v>
      </c>
      <c r="F7" s="30">
        <f>(B7)*1</f>
        <v>3045</v>
      </c>
      <c r="G7" s="31"/>
      <c r="H7" s="30"/>
    </row>
    <row r="8" spans="1:8" ht="15.75">
      <c r="A8" s="8"/>
      <c r="B8" s="10"/>
      <c r="C8" s="18"/>
      <c r="D8" s="10"/>
      <c r="E8" s="18"/>
      <c r="F8" s="10"/>
      <c r="G8" s="31"/>
      <c r="H8" s="8"/>
    </row>
    <row r="9" spans="1:8" ht="15.75">
      <c r="A9" s="11" t="s">
        <v>1</v>
      </c>
      <c r="B9" s="18" t="s">
        <v>2</v>
      </c>
      <c r="C9" s="18" t="s">
        <v>2</v>
      </c>
      <c r="D9" s="18" t="s">
        <v>2</v>
      </c>
      <c r="E9" s="18" t="s">
        <v>2</v>
      </c>
      <c r="F9" s="18" t="s">
        <v>2</v>
      </c>
      <c r="G9" s="31"/>
      <c r="H9" s="8"/>
    </row>
    <row r="10" spans="1:8" ht="15.75">
      <c r="A10" s="11" t="s">
        <v>17</v>
      </c>
      <c r="B10" s="14">
        <f>4017+748+2414</f>
        <v>7179</v>
      </c>
      <c r="C10" s="14">
        <f>1396+1376+1971</f>
        <v>4743</v>
      </c>
      <c r="D10" s="14">
        <f>745+91+1152</f>
        <v>1988</v>
      </c>
      <c r="E10" s="14">
        <f>5339+1786+1724</f>
        <v>8849</v>
      </c>
      <c r="F10" s="14">
        <f aca="true" t="shared" si="0" ref="F10:F16">SUM(B10:E10)</f>
        <v>22759</v>
      </c>
      <c r="G10" s="31"/>
      <c r="H10" s="30"/>
    </row>
    <row r="11" spans="1:8" ht="15.75">
      <c r="A11" s="11" t="s">
        <v>3</v>
      </c>
      <c r="B11" s="37">
        <f>679+623+877</f>
        <v>2179</v>
      </c>
      <c r="C11" s="37">
        <f>671+645+872</f>
        <v>2188</v>
      </c>
      <c r="D11" s="37">
        <f>632+673+868</f>
        <v>2173</v>
      </c>
      <c r="E11" s="37">
        <f>696+593+726</f>
        <v>2015</v>
      </c>
      <c r="F11" s="14">
        <f t="shared" si="0"/>
        <v>8555</v>
      </c>
      <c r="G11" s="31"/>
      <c r="H11" s="30"/>
    </row>
    <row r="12" spans="1:8" ht="15.75">
      <c r="A12" s="11" t="s">
        <v>4</v>
      </c>
      <c r="B12" s="37">
        <f>58+146+1103</f>
        <v>1307</v>
      </c>
      <c r="C12" s="37">
        <f>98+139+1209</f>
        <v>1446</v>
      </c>
      <c r="D12" s="37">
        <f>123+63+1145</f>
        <v>1331</v>
      </c>
      <c r="E12" s="37">
        <f>120+490+1324</f>
        <v>1934</v>
      </c>
      <c r="F12" s="14">
        <f t="shared" si="0"/>
        <v>6018</v>
      </c>
      <c r="G12" s="31"/>
      <c r="H12" s="30"/>
    </row>
    <row r="13" spans="1:8" ht="15.75">
      <c r="A13" s="11" t="s">
        <v>5</v>
      </c>
      <c r="B13" s="37">
        <f>81+80+107</f>
        <v>268</v>
      </c>
      <c r="C13" s="37">
        <f>100+64+81</f>
        <v>245</v>
      </c>
      <c r="D13" s="37">
        <f>80+82+118</f>
        <v>280</v>
      </c>
      <c r="E13" s="37">
        <f>103+74+93</f>
        <v>270</v>
      </c>
      <c r="F13" s="14">
        <f t="shared" si="0"/>
        <v>1063</v>
      </c>
      <c r="G13" s="31"/>
      <c r="H13" s="30"/>
    </row>
    <row r="14" spans="1:8" ht="15.75">
      <c r="A14" s="11" t="s">
        <v>6</v>
      </c>
      <c r="B14" s="37">
        <f>131+127+237</f>
        <v>495</v>
      </c>
      <c r="C14" s="37">
        <f>138+119+156</f>
        <v>413</v>
      </c>
      <c r="D14" s="37">
        <f>149+256+311</f>
        <v>716</v>
      </c>
      <c r="E14" s="37">
        <f>311+192+331</f>
        <v>834</v>
      </c>
      <c r="F14" s="14">
        <f t="shared" si="0"/>
        <v>2458</v>
      </c>
      <c r="G14" s="31"/>
      <c r="H14" s="30"/>
    </row>
    <row r="15" spans="1:8" ht="15.75">
      <c r="A15" s="11" t="s">
        <v>19</v>
      </c>
      <c r="B15" s="37">
        <f>0+12+22</f>
        <v>34</v>
      </c>
      <c r="C15" s="37">
        <f>1+5+0</f>
        <v>6</v>
      </c>
      <c r="D15" s="37">
        <f>10+10+0</f>
        <v>20</v>
      </c>
      <c r="E15" s="37">
        <f>5+4+0</f>
        <v>9</v>
      </c>
      <c r="F15" s="14">
        <f t="shared" si="0"/>
        <v>69</v>
      </c>
      <c r="G15" s="31"/>
      <c r="H15" s="30"/>
    </row>
    <row r="16" spans="1:8" ht="15.75">
      <c r="A16" s="11" t="s">
        <v>7</v>
      </c>
      <c r="B16" s="37">
        <f>1533+301+1461</f>
        <v>3295</v>
      </c>
      <c r="C16" s="37">
        <f>822+680+1288</f>
        <v>2790</v>
      </c>
      <c r="D16" s="37">
        <f>848+345+1221</f>
        <v>2414</v>
      </c>
      <c r="E16" s="37">
        <f>2081+233+1359</f>
        <v>3673</v>
      </c>
      <c r="F16" s="14">
        <f t="shared" si="0"/>
        <v>12172</v>
      </c>
      <c r="G16" s="31"/>
      <c r="H16" s="30"/>
    </row>
    <row r="17" spans="1:8" ht="15.75">
      <c r="A17" s="8"/>
      <c r="B17" s="30"/>
      <c r="C17" s="14"/>
      <c r="D17" s="30"/>
      <c r="E17" s="30"/>
      <c r="F17" s="30"/>
      <c r="G17" s="31"/>
      <c r="H17" s="8"/>
    </row>
    <row r="18" spans="1:8" ht="15.75">
      <c r="A18" s="11" t="s">
        <v>8</v>
      </c>
      <c r="B18" s="30">
        <v>14757</v>
      </c>
      <c r="C18" s="30">
        <v>11831</v>
      </c>
      <c r="D18" s="30">
        <v>8922</v>
      </c>
      <c r="E18" s="30">
        <v>17584</v>
      </c>
      <c r="F18" s="30">
        <v>53094</v>
      </c>
      <c r="G18" s="31"/>
      <c r="H18" s="8"/>
    </row>
    <row r="19" spans="1:8" ht="15.75">
      <c r="A19" s="8"/>
      <c r="B19" s="30"/>
      <c r="C19" s="37"/>
      <c r="D19" s="30"/>
      <c r="E19" s="30"/>
      <c r="F19" s="30"/>
      <c r="G19" s="31"/>
      <c r="H19" s="8"/>
    </row>
    <row r="20" spans="1:8" ht="15.75">
      <c r="A20" s="11" t="s">
        <v>9</v>
      </c>
      <c r="B20" s="37"/>
      <c r="C20" s="37"/>
      <c r="D20" s="37"/>
      <c r="E20" s="37"/>
      <c r="F20" s="37"/>
      <c r="G20" s="31"/>
      <c r="H20" s="8"/>
    </row>
    <row r="21" spans="1:8" ht="15.75">
      <c r="A21" s="11" t="s">
        <v>10</v>
      </c>
      <c r="B21" s="37">
        <f>1292+4103+4117</f>
        <v>9512</v>
      </c>
      <c r="C21" s="37">
        <f>1425+2223+2786</f>
        <v>6434</v>
      </c>
      <c r="D21" s="37">
        <f>2475+1708+3049</f>
        <v>7232</v>
      </c>
      <c r="E21" s="37">
        <f>1961+2248+9025</f>
        <v>13234</v>
      </c>
      <c r="F21" s="14">
        <f>SUM(B21:E21)</f>
        <v>36412</v>
      </c>
      <c r="G21" s="31"/>
      <c r="H21" s="30"/>
    </row>
    <row r="22" spans="1:8" ht="15.75">
      <c r="A22" s="11" t="s">
        <v>11</v>
      </c>
      <c r="B22" s="37">
        <f>836+1053+874</f>
        <v>2763</v>
      </c>
      <c r="C22" s="37">
        <f>797+1004+755</f>
        <v>2556</v>
      </c>
      <c r="D22" s="37">
        <f>918+727+639</f>
        <v>2284</v>
      </c>
      <c r="E22" s="37">
        <f>793+630+553</f>
        <v>1976</v>
      </c>
      <c r="F22" s="14">
        <f>SUM(B22:E22)</f>
        <v>9579</v>
      </c>
      <c r="G22" s="31"/>
      <c r="H22" s="30"/>
    </row>
    <row r="23" spans="1:8" ht="15.75">
      <c r="A23" s="11" t="s">
        <v>12</v>
      </c>
      <c r="B23" s="37">
        <f>262+430+1218</f>
        <v>1910</v>
      </c>
      <c r="C23" s="37">
        <f>258+269+268</f>
        <v>795</v>
      </c>
      <c r="D23" s="37">
        <f>285+319+260</f>
        <v>864</v>
      </c>
      <c r="E23" s="37">
        <f>367+328+356</f>
        <v>1051</v>
      </c>
      <c r="F23" s="14">
        <f>SUM(B23:E23)</f>
        <v>4620</v>
      </c>
      <c r="G23" s="31"/>
      <c r="H23" s="30"/>
    </row>
    <row r="24" spans="1:8" ht="15.75">
      <c r="A24" s="11" t="s">
        <v>13</v>
      </c>
      <c r="B24" s="37">
        <f>251+218+267</f>
        <v>736</v>
      </c>
      <c r="C24" s="37">
        <f>179+126+480</f>
        <v>785</v>
      </c>
      <c r="D24" s="37">
        <f>215+282+510</f>
        <v>1007</v>
      </c>
      <c r="E24" s="37">
        <f>177+75+-6</f>
        <v>246</v>
      </c>
      <c r="F24" s="14">
        <f>SUM(B24:E24)</f>
        <v>2774</v>
      </c>
      <c r="G24" s="31"/>
      <c r="H24" s="30"/>
    </row>
    <row r="25" spans="1:8" ht="15.75">
      <c r="A25" s="8"/>
      <c r="B25" s="10"/>
      <c r="C25" s="8"/>
      <c r="D25" s="27"/>
      <c r="E25" s="27"/>
      <c r="F25" s="27"/>
      <c r="G25" s="31"/>
      <c r="H25" s="8"/>
    </row>
    <row r="26" spans="1:8" ht="15.75">
      <c r="A26" s="11" t="s">
        <v>14</v>
      </c>
      <c r="B26" s="30">
        <v>14921</v>
      </c>
      <c r="C26" s="30">
        <v>10570</v>
      </c>
      <c r="D26" s="30">
        <v>11387</v>
      </c>
      <c r="E26" s="30">
        <v>16507</v>
      </c>
      <c r="F26" s="30">
        <v>53385</v>
      </c>
      <c r="G26" s="31"/>
      <c r="H26" s="8"/>
    </row>
    <row r="27" spans="1:8" ht="15.75">
      <c r="A27" s="8"/>
      <c r="B27" s="30"/>
      <c r="C27" s="30"/>
      <c r="D27" s="30"/>
      <c r="E27" s="30"/>
      <c r="F27" s="30"/>
      <c r="G27" s="31"/>
      <c r="H27" s="8"/>
    </row>
    <row r="28" spans="1:8" ht="15.75">
      <c r="A28" s="11" t="s">
        <v>22</v>
      </c>
      <c r="B28" s="30">
        <v>-164</v>
      </c>
      <c r="C28" s="30">
        <v>1261</v>
      </c>
      <c r="D28" s="30">
        <v>-2465</v>
      </c>
      <c r="E28" s="30">
        <v>1077</v>
      </c>
      <c r="F28" s="30">
        <v>-291</v>
      </c>
      <c r="G28" s="31"/>
      <c r="H28" s="30"/>
    </row>
    <row r="29" spans="1:8" ht="15.75">
      <c r="A29" s="8"/>
      <c r="B29" s="30"/>
      <c r="C29" s="30"/>
      <c r="D29" s="30"/>
      <c r="E29" s="30"/>
      <c r="F29" s="30"/>
      <c r="G29" s="31"/>
      <c r="H29" s="8"/>
    </row>
    <row r="30" spans="1:8" ht="15.75">
      <c r="A30" s="11" t="s">
        <v>15</v>
      </c>
      <c r="B30" s="30">
        <v>2881</v>
      </c>
      <c r="C30" s="30">
        <v>4142</v>
      </c>
      <c r="D30" s="30">
        <v>1677</v>
      </c>
      <c r="E30" s="30">
        <v>2754</v>
      </c>
      <c r="F30" s="30">
        <v>2754</v>
      </c>
      <c r="G30" s="31"/>
      <c r="H30" s="8"/>
    </row>
    <row r="31" spans="1:8" ht="15.75">
      <c r="A31" s="9"/>
      <c r="B31" s="22"/>
      <c r="C31" s="22"/>
      <c r="D31" s="22"/>
      <c r="E31" s="22"/>
      <c r="F31" s="22"/>
      <c r="G31" s="31"/>
      <c r="H31" s="8"/>
    </row>
    <row r="32" spans="1:8" ht="33" customHeight="1">
      <c r="A32" s="40" t="s">
        <v>39</v>
      </c>
      <c r="B32" s="40"/>
      <c r="C32" s="40"/>
      <c r="D32" s="40"/>
      <c r="E32" s="40"/>
      <c r="F32" s="40"/>
      <c r="G32" s="31"/>
      <c r="H32" s="8"/>
    </row>
    <row r="33" spans="1:8" ht="15.75">
      <c r="A33" s="26"/>
      <c r="B33" s="26"/>
      <c r="C33" s="26"/>
      <c r="D33" s="26"/>
      <c r="E33" s="26"/>
      <c r="F33" s="26"/>
      <c r="G33" s="31"/>
      <c r="H33" s="8"/>
    </row>
    <row r="34" spans="1:8" ht="15.75">
      <c r="A34" s="7" t="s">
        <v>16</v>
      </c>
      <c r="B34" s="20"/>
      <c r="C34" s="20"/>
      <c r="D34" s="20"/>
      <c r="E34" s="27"/>
      <c r="F34" s="27"/>
      <c r="G34" s="31"/>
      <c r="H34" s="8"/>
    </row>
    <row r="35" spans="1:8" ht="15.75">
      <c r="A35" s="7"/>
      <c r="B35" s="20"/>
      <c r="C35" s="20"/>
      <c r="D35" s="20"/>
      <c r="E35" s="27"/>
      <c r="F35" s="27"/>
      <c r="G35" s="31"/>
      <c r="H35" s="8"/>
    </row>
    <row r="36" spans="1:8" ht="15.75">
      <c r="A36" s="7"/>
      <c r="B36" s="20"/>
      <c r="C36" s="20"/>
      <c r="D36" s="20"/>
      <c r="E36" s="27"/>
      <c r="F36" s="27"/>
      <c r="G36" s="31"/>
      <c r="H36" s="8"/>
    </row>
    <row r="37" spans="1:8" ht="15.75">
      <c r="A37" s="8"/>
      <c r="B37" s="27"/>
      <c r="C37" s="27"/>
      <c r="D37" s="27"/>
      <c r="E37" s="27"/>
      <c r="F37" s="27"/>
      <c r="G37" s="31"/>
      <c r="H37" s="8"/>
    </row>
    <row r="38" spans="1:8" ht="15.75">
      <c r="A38" s="8"/>
      <c r="B38" s="27"/>
      <c r="C38" s="27"/>
      <c r="D38" s="27"/>
      <c r="E38" s="27"/>
      <c r="F38" s="27"/>
      <c r="G38" s="31"/>
      <c r="H38" s="8"/>
    </row>
  </sheetData>
  <sheetProtection/>
  <mergeCells count="1">
    <mergeCell ref="A32:F32"/>
  </mergeCells>
  <printOptions/>
  <pageMargins left="0.7" right="0.7" top="0.75" bottom="0.75" header="0.3" footer="0.3"/>
  <pageSetup fitToHeight="1" fitToWidth="1" horizontalDpi="600" verticalDpi="600" orientation="landscape" scale="92" r:id="rId1"/>
</worksheet>
</file>

<file path=xl/worksheets/sheet9.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selection activeCell="F1" sqref="F1"/>
    </sheetView>
  </sheetViews>
  <sheetFormatPr defaultColWidth="8.88671875" defaultRowHeight="15.75"/>
  <cols>
    <col min="1" max="1" width="39.77734375" style="0" customWidth="1"/>
    <col min="2" max="16384" width="13.77734375" style="0" customWidth="1"/>
  </cols>
  <sheetData>
    <row r="1" spans="1:5" ht="23.25">
      <c r="A1" s="28" t="s">
        <v>24</v>
      </c>
      <c r="B1" s="7"/>
      <c r="C1" s="7"/>
      <c r="D1" s="7"/>
      <c r="E1" s="8"/>
    </row>
    <row r="2" spans="1:6" ht="20.25">
      <c r="A2" s="29" t="s">
        <v>40</v>
      </c>
      <c r="B2" s="7"/>
      <c r="C2" s="7"/>
      <c r="D2" s="8"/>
      <c r="E2" s="8"/>
      <c r="F2" s="8"/>
    </row>
    <row r="3" spans="1:6" ht="20.25">
      <c r="A3" s="28" t="s">
        <v>0</v>
      </c>
      <c r="B3" s="7"/>
      <c r="C3" s="7"/>
      <c r="D3" s="8"/>
      <c r="E3" s="8"/>
      <c r="F3" s="8"/>
    </row>
    <row r="4" spans="1:6" ht="15.75">
      <c r="A4" s="8"/>
      <c r="B4" s="8"/>
      <c r="C4" s="8"/>
      <c r="D4" s="8"/>
      <c r="E4" s="8"/>
      <c r="F4" s="8"/>
    </row>
    <row r="5" spans="1:6" ht="43.5">
      <c r="A5" s="32"/>
      <c r="B5" s="33" t="s">
        <v>25</v>
      </c>
      <c r="C5" s="33" t="s">
        <v>26</v>
      </c>
      <c r="D5" s="33" t="s">
        <v>27</v>
      </c>
      <c r="E5" s="33" t="s">
        <v>28</v>
      </c>
      <c r="F5" s="33" t="s">
        <v>29</v>
      </c>
    </row>
    <row r="6" spans="1:6" ht="15.75">
      <c r="A6" s="8"/>
      <c r="B6" s="10"/>
      <c r="C6" s="8"/>
      <c r="D6" s="8"/>
      <c r="E6" s="10"/>
      <c r="F6" s="10"/>
    </row>
    <row r="7" spans="1:6" ht="15.75">
      <c r="A7" s="11" t="s">
        <v>18</v>
      </c>
      <c r="B7" s="30">
        <v>2546</v>
      </c>
      <c r="C7" s="30">
        <v>4007</v>
      </c>
      <c r="D7" s="30">
        <v>4923</v>
      </c>
      <c r="E7" s="30">
        <v>3581</v>
      </c>
      <c r="F7" s="30">
        <v>2546</v>
      </c>
    </row>
    <row r="8" spans="1:6" ht="15.75">
      <c r="A8" s="8"/>
      <c r="B8" s="48"/>
      <c r="C8" s="48"/>
      <c r="D8" s="48"/>
      <c r="E8" s="48"/>
      <c r="F8" s="48"/>
    </row>
    <row r="9" spans="1:6" ht="15.75">
      <c r="A9" s="11" t="s">
        <v>1</v>
      </c>
      <c r="B9" s="48" t="s">
        <v>2</v>
      </c>
      <c r="C9" s="48" t="s">
        <v>2</v>
      </c>
      <c r="D9" s="48" t="s">
        <v>2</v>
      </c>
      <c r="E9" s="48" t="s">
        <v>2</v>
      </c>
      <c r="F9" s="48" t="s">
        <v>2</v>
      </c>
    </row>
    <row r="10" spans="1:6" ht="15.75">
      <c r="A10" s="11" t="s">
        <v>17</v>
      </c>
      <c r="B10" s="14">
        <f>3347+553+2213</f>
        <v>6113</v>
      </c>
      <c r="C10" s="14">
        <f>1254+1537+2105</f>
        <v>4896</v>
      </c>
      <c r="D10" s="14">
        <f>719+522+1504</f>
        <v>2745</v>
      </c>
      <c r="E10" s="14">
        <f>4216+1641+1089</f>
        <v>6946</v>
      </c>
      <c r="F10" s="14">
        <f aca="true" t="shared" si="0" ref="F10:F15">SUM(B10:E10)</f>
        <v>20700</v>
      </c>
    </row>
    <row r="11" spans="1:6" ht="15.75">
      <c r="A11" s="11" t="s">
        <v>3</v>
      </c>
      <c r="B11" s="37">
        <f>662+667+894</f>
        <v>2223</v>
      </c>
      <c r="C11" s="37">
        <f>680+628+898</f>
        <v>2206</v>
      </c>
      <c r="D11" s="37">
        <f>626+629+874</f>
        <v>2129</v>
      </c>
      <c r="E11" s="37">
        <f>726+561+794</f>
        <v>2081</v>
      </c>
      <c r="F11" s="14">
        <f t="shared" si="0"/>
        <v>8639</v>
      </c>
    </row>
    <row r="12" spans="1:6" ht="15.75">
      <c r="A12" s="11" t="s">
        <v>4</v>
      </c>
      <c r="B12" s="37">
        <f>217+177+891</f>
        <v>1285</v>
      </c>
      <c r="C12" s="37">
        <f>90+83+919</f>
        <v>1092</v>
      </c>
      <c r="D12" s="37">
        <f>91+53+954</f>
        <v>1098</v>
      </c>
      <c r="E12" s="37">
        <f>21+127+1461</f>
        <v>1609</v>
      </c>
      <c r="F12" s="14">
        <f t="shared" si="0"/>
        <v>5084</v>
      </c>
    </row>
    <row r="13" spans="1:6" ht="15.75">
      <c r="A13" s="11" t="s">
        <v>5</v>
      </c>
      <c r="B13" s="37">
        <f>49+64+131</f>
        <v>244</v>
      </c>
      <c r="C13" s="37">
        <f>118+63+68</f>
        <v>249</v>
      </c>
      <c r="D13" s="37">
        <f>71+77+67</f>
        <v>215</v>
      </c>
      <c r="E13" s="37">
        <f>56+72+45</f>
        <v>173</v>
      </c>
      <c r="F13" s="14">
        <f t="shared" si="0"/>
        <v>881</v>
      </c>
    </row>
    <row r="14" spans="1:6" ht="15.75">
      <c r="A14" s="11" t="s">
        <v>6</v>
      </c>
      <c r="B14" s="37">
        <f>161+81+176</f>
        <v>418</v>
      </c>
      <c r="C14" s="37">
        <f>95+109+108</f>
        <v>312</v>
      </c>
      <c r="D14" s="37">
        <f>179+224+202</f>
        <v>605</v>
      </c>
      <c r="E14" s="37">
        <f>99+49+546</f>
        <v>694</v>
      </c>
      <c r="F14" s="14">
        <f t="shared" si="0"/>
        <v>2029</v>
      </c>
    </row>
    <row r="15" spans="1:6" ht="15.75">
      <c r="A15" s="11" t="s">
        <v>7</v>
      </c>
      <c r="B15" s="37">
        <f>1396+353+1207</f>
        <v>2956</v>
      </c>
      <c r="C15" s="37">
        <f>691+649+1077</f>
        <v>2417</v>
      </c>
      <c r="D15" s="37">
        <f>471+248+884</f>
        <v>1603</v>
      </c>
      <c r="E15" s="37">
        <f>1688+329+880</f>
        <v>2897</v>
      </c>
      <c r="F15" s="14">
        <f t="shared" si="0"/>
        <v>9873</v>
      </c>
    </row>
    <row r="16" spans="1:6" ht="15.75">
      <c r="A16" s="8"/>
      <c r="B16" s="30"/>
      <c r="C16" s="30"/>
      <c r="D16" s="30"/>
      <c r="E16" s="30"/>
      <c r="F16" s="30"/>
    </row>
    <row r="17" spans="1:6" ht="15.75">
      <c r="A17" s="11" t="s">
        <v>8</v>
      </c>
      <c r="B17" s="30">
        <v>13239</v>
      </c>
      <c r="C17" s="30">
        <v>11172</v>
      </c>
      <c r="D17" s="30">
        <v>8395</v>
      </c>
      <c r="E17" s="30">
        <v>14400</v>
      </c>
      <c r="F17" s="30">
        <v>47206</v>
      </c>
    </row>
    <row r="18" spans="1:6" ht="15.75">
      <c r="A18" s="8"/>
      <c r="B18" s="37"/>
      <c r="C18" s="37"/>
      <c r="D18" s="37"/>
      <c r="E18" s="37"/>
      <c r="F18" s="37"/>
    </row>
    <row r="19" spans="1:6" ht="15.75">
      <c r="A19" s="11" t="s">
        <v>9</v>
      </c>
      <c r="B19" s="37"/>
      <c r="C19" s="37"/>
      <c r="D19" s="37"/>
      <c r="E19" s="37"/>
      <c r="F19" s="37"/>
    </row>
    <row r="20" spans="1:6" ht="15.75">
      <c r="A20" s="11" t="s">
        <v>10</v>
      </c>
      <c r="B20" s="37">
        <f>1322+3195+3280</f>
        <v>7797</v>
      </c>
      <c r="C20" s="37">
        <f>1323+2000+2273</f>
        <v>5596</v>
      </c>
      <c r="D20" s="37">
        <f>1714+1855+2576</f>
        <v>6145</v>
      </c>
      <c r="E20" s="37">
        <f>1646+1817+8286</f>
        <v>11749</v>
      </c>
      <c r="F20" s="14">
        <f>SUM(B20:E20)</f>
        <v>31287</v>
      </c>
    </row>
    <row r="21" spans="1:6" ht="15.75">
      <c r="A21" s="11" t="s">
        <v>11</v>
      </c>
      <c r="B21" s="37">
        <f>736+743+867</f>
        <v>2346</v>
      </c>
      <c r="C21" s="37">
        <f>716+690+864</f>
        <v>2270</v>
      </c>
      <c r="D21" s="37">
        <f>633+816+567</f>
        <v>2016</v>
      </c>
      <c r="E21" s="37">
        <f>568+433+527</f>
        <v>1528</v>
      </c>
      <c r="F21" s="14">
        <f>SUM(B21:E21)</f>
        <v>8160</v>
      </c>
    </row>
    <row r="22" spans="1:6" ht="15.75">
      <c r="A22" s="11" t="s">
        <v>12</v>
      </c>
      <c r="B22" s="37">
        <f>405+186+269</f>
        <v>860</v>
      </c>
      <c r="C22" s="37">
        <f>1212+213+379</f>
        <v>1804</v>
      </c>
      <c r="D22" s="37">
        <f>249+189+237</f>
        <v>675</v>
      </c>
      <c r="E22" s="37">
        <f>276+203+157</f>
        <v>636</v>
      </c>
      <c r="F22" s="14">
        <f>SUM(B22:E22)</f>
        <v>3975</v>
      </c>
    </row>
    <row r="23" spans="1:6" ht="15.75">
      <c r="A23" s="11" t="s">
        <v>13</v>
      </c>
      <c r="B23" s="37">
        <f>15+109+30+32+44+36+509</f>
        <v>775</v>
      </c>
      <c r="C23" s="37">
        <f>16+26+42+27+33+60+382</f>
        <v>586</v>
      </c>
      <c r="D23" s="37">
        <f>46+33+54+25+14+132+597</f>
        <v>901</v>
      </c>
      <c r="E23" s="37">
        <f>-14+22+30+32+-24+543+222</f>
        <v>811</v>
      </c>
      <c r="F23" s="14">
        <f>SUM(B23:E23)</f>
        <v>3073</v>
      </c>
    </row>
    <row r="24" spans="1:6" ht="15.75">
      <c r="A24" s="8"/>
      <c r="B24" s="10"/>
      <c r="C24" s="27"/>
      <c r="D24" s="27"/>
      <c r="E24" s="27"/>
      <c r="F24" s="27"/>
    </row>
    <row r="25" spans="1:6" ht="15.75">
      <c r="A25" s="11" t="s">
        <v>14</v>
      </c>
      <c r="B25" s="30">
        <v>11778</v>
      </c>
      <c r="C25" s="30">
        <v>10256</v>
      </c>
      <c r="D25" s="30">
        <v>9737</v>
      </c>
      <c r="E25" s="30">
        <v>14724</v>
      </c>
      <c r="F25" s="30">
        <v>46495</v>
      </c>
    </row>
    <row r="26" spans="1:6" ht="15.75">
      <c r="A26" s="8"/>
      <c r="B26" s="30"/>
      <c r="C26" s="30"/>
      <c r="D26" s="30"/>
      <c r="E26" s="30"/>
      <c r="F26" s="30"/>
    </row>
    <row r="27" spans="1:6" ht="15.75">
      <c r="A27" s="11" t="s">
        <v>22</v>
      </c>
      <c r="B27" s="30">
        <f>(B17-B25)*1</f>
        <v>1461</v>
      </c>
      <c r="C27" s="30">
        <f>(C17-C25)*1</f>
        <v>916</v>
      </c>
      <c r="D27" s="30">
        <f>(D17-D25)*1</f>
        <v>-1342</v>
      </c>
      <c r="E27" s="30">
        <f>(E17-E25)*1</f>
        <v>-324</v>
      </c>
      <c r="F27" s="30">
        <f>(SUM(B27:E27))*1</f>
        <v>711</v>
      </c>
    </row>
    <row r="28" spans="1:6" ht="15.75">
      <c r="A28" s="8"/>
      <c r="B28" s="30"/>
      <c r="C28" s="30"/>
      <c r="D28" s="30"/>
      <c r="E28" s="30"/>
      <c r="F28" s="30"/>
    </row>
    <row r="29" spans="1:6" ht="15.75">
      <c r="A29" s="11" t="s">
        <v>15</v>
      </c>
      <c r="B29" s="30">
        <v>4007</v>
      </c>
      <c r="C29" s="30">
        <v>4923</v>
      </c>
      <c r="D29" s="30">
        <v>3581</v>
      </c>
      <c r="E29" s="30">
        <v>3257</v>
      </c>
      <c r="F29" s="30">
        <v>3257</v>
      </c>
    </row>
    <row r="30" spans="1:6" ht="15.75">
      <c r="A30" s="9"/>
      <c r="B30" s="22"/>
      <c r="C30" s="22"/>
      <c r="D30" s="22"/>
      <c r="E30" s="22"/>
      <c r="F30" s="22"/>
    </row>
    <row r="31" spans="1:6" ht="35.25" customHeight="1">
      <c r="A31" s="40" t="s">
        <v>37</v>
      </c>
      <c r="B31" s="40"/>
      <c r="C31" s="40"/>
      <c r="D31" s="40"/>
      <c r="E31" s="40"/>
      <c r="F31" s="40"/>
    </row>
    <row r="32" spans="1:6" ht="15.75">
      <c r="A32" s="46"/>
      <c r="B32" s="46"/>
      <c r="C32" s="46"/>
      <c r="D32" s="46"/>
      <c r="E32" s="46"/>
      <c r="F32" s="46"/>
    </row>
    <row r="33" spans="1:6" ht="15.75">
      <c r="A33" s="7" t="s">
        <v>16</v>
      </c>
      <c r="B33" s="20"/>
      <c r="C33" s="20"/>
      <c r="D33" s="20"/>
      <c r="E33" s="27"/>
      <c r="F33" s="27"/>
    </row>
  </sheetData>
  <sheetProtection/>
  <mergeCells count="1">
    <mergeCell ref="A31:F31"/>
  </mergeCells>
  <printOptions/>
  <pageMargins left="0.7" right="0.7" top="0.75" bottom="0.75" header="0.3" footer="0.3"/>
  <pageSetup fitToHeight="1" fitToWidth="1" horizontalDpi="600" verticalDpi="600" orientation="landscape"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2019-06-14T13:40:18Z</cp:lastPrinted>
  <dcterms:created xsi:type="dcterms:W3CDTF">2005-01-04T21:25:24Z</dcterms:created>
  <dcterms:modified xsi:type="dcterms:W3CDTF">2019-06-14T18:14:06Z</dcterms:modified>
  <cp:category/>
  <cp:version/>
  <cp:contentType/>
  <cp:contentStatus/>
</cp:coreProperties>
</file>