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0-12 Avg; 2013" sheetId="1" r:id="rId1"/>
    <sheet name="2008-10 Avg; 2011" sheetId="2" r:id="rId2"/>
    <sheet name="2007-09 Avg; 2010" sheetId="3" r:id="rId3"/>
    <sheet name="2006-08 Avg; 2009" sheetId="4" r:id="rId4"/>
    <sheet name="2005-07 Avg; 2008" sheetId="5" r:id="rId5"/>
    <sheet name="2004-06 Avg; 2007" sheetId="6" r:id="rId6"/>
    <sheet name="2001-03 Avg; 2004" sheetId="7" r:id="rId7"/>
    <sheet name="2000-02 Avg; 2003" sheetId="8" r:id="rId8"/>
    <sheet name="1999-2001 Avg; 2002" sheetId="9" r:id="rId9"/>
    <sheet name="1998-2000 Avg; 2001" sheetId="10" r:id="rId10"/>
    <sheet name="1997-99 Avg; 2000" sheetId="11" r:id="rId11"/>
    <sheet name="1996-98 Avg; 1999" sheetId="12" r:id="rId12"/>
    <sheet name="1995-97 Avg; 1998" sheetId="13" r:id="rId13"/>
    <sheet name="1994-96 Avg; 1997" sheetId="14" r:id="rId14"/>
    <sheet name="1993-95 Avg; 1996" sheetId="15" r:id="rId15"/>
  </sheets>
  <definedNames>
    <definedName name="_xlnm.Print_Area" localSheetId="5">'2004-06 Avg; 2007'!$A$1:$L$83</definedName>
    <definedName name="_xlnm.Print_Area" localSheetId="4">'2005-07 Avg; 2008'!$A$1:$L$83</definedName>
    <definedName name="_xlnm.Print_Area" localSheetId="3">'2006-08 Avg; 2009'!$A$1:$L$83</definedName>
    <definedName name="_xlnm.Print_Area" localSheetId="2">'2007-09 Avg; 2010'!$A$1:$L$83</definedName>
    <definedName name="_xlnm.Print_Area" localSheetId="1">'2008-10 Avg; 2011'!$A$1:$L$83</definedName>
    <definedName name="_xlnm.Print_Area" localSheetId="0">'2010-12 Avg; 2013'!$A$1:$L$83</definedName>
    <definedName name="PRINT_AREA_MI">#REF!</definedName>
  </definedNames>
  <calcPr fullCalcOnLoad="1"/>
</workbook>
</file>

<file path=xl/sharedStrings.xml><?xml version="1.0" encoding="utf-8"?>
<sst xmlns="http://schemas.openxmlformats.org/spreadsheetml/2006/main" count="1289" uniqueCount="117">
  <si>
    <t>Motor Vehicle Accidents by Severity</t>
  </si>
  <si>
    <t>County of Occurrence</t>
  </si>
  <si>
    <t>New York State</t>
  </si>
  <si>
    <t xml:space="preserve"> </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</si>
  <si>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</si>
  <si>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</si>
  <si>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</si>
  <si>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</si>
  <si>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</si>
  <si>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</si>
  <si>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</si>
  <si>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</si>
  <si>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</si>
  <si>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</si>
  <si>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</si>
  <si>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</si>
  <si>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</si>
  <si>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</si>
  <si>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</si>
  <si>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</si>
  <si>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</si>
  <si>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</si>
  <si>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</si>
  <si>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</si>
  <si>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</si>
  <si>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</si>
  <si>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</si>
  <si>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</si>
  <si>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</si>
  <si>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</si>
  <si>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</si>
  <si>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</si>
  <si>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</si>
  <si>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</si>
  <si>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</si>
  <si>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</si>
  <si>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</si>
  <si>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</si>
  <si>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</si>
  <si>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</si>
  <si>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</si>
  <si>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</si>
  <si>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</si>
  <si>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</si>
  <si>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</si>
  <si>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</si>
  <si>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</si>
  <si>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</si>
  <si>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</si>
  <si>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</si>
  <si>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</si>
  <si>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</si>
  <si>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</si>
  <si>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</si>
  <si>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</si>
  <si>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</si>
  <si>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</si>
  <si>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</si>
  <si>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</si>
  <si>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</si>
  <si>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</si>
  <si>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</si>
  <si>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</si>
  <si>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</si>
  <si>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</si>
  <si>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</si>
  <si>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</si>
  <si>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</si>
  <si>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SOURCE:  New York State Department of Motor Vehicles.</t>
  </si>
  <si>
    <t>Fatal</t>
  </si>
  <si>
    <t>Personal Injury</t>
  </si>
  <si>
    <t xml:space="preserve">    Unknown</t>
  </si>
  <si>
    <t>.</t>
  </si>
  <si>
    <t>New York State by County — 2010-12 Average and 2013</t>
  </si>
  <si>
    <r>
      <t>Total</t>
    </r>
    <r>
      <rPr>
        <vertAlign val="superscript"/>
        <sz val="11"/>
        <rFont val="Arial"/>
        <family val="2"/>
      </rPr>
      <t>1,2,3</t>
    </r>
  </si>
  <si>
    <r>
      <t>Property Damage</t>
    </r>
    <r>
      <rPr>
        <vertAlign val="superscript"/>
        <sz val="11"/>
        <rFont val="Arial"/>
        <family val="2"/>
      </rPr>
      <t>2,3</t>
    </r>
  </si>
  <si>
    <t>NOTE: The totals on this table may differ slightly from those on the other tables presenting the data in different formats because the data are derived from dynamic files whose contents are constantly being updated. Because of rounding, the Statewide, New York City, and Rest of State totals for each of the three year average columns may differ from the total of the three year averages of the individual counties.</t>
  </si>
  <si>
    <t>1  Based on submitted reports for reportable accidents. A reportable accident is one that involved injury or death, or damage of more than $1,000 to any property affected by the accident, including nonmotor vehicle property.</t>
  </si>
  <si>
    <t>2  Changes in data collection and reporting that began during 2001 with respect to property damage crashes have reduced the total number of crashes, since the changes resulted in fewer property damage crashes being captured in the statewide Accident Information System (AIS) maintained by the New York State Department of Motor Vehicles.</t>
  </si>
  <si>
    <t>3  Changes in data collection and reporting that began during 2006 with respect to property damage crashes have increased the total number of crashes, since the changes resulted in more property damage crashes being captured in the statewide Accident Information System (AIS) maintained by the New York State Department of Motor Vehicles. Consequently, data for 2006 and all subsequent years are not strictly comparable with data from prior years.</t>
  </si>
  <si>
    <t xml:space="preserve">      2010-12 Average</t>
  </si>
  <si>
    <t>New York State by County — 2008-10 Average and 2011</t>
  </si>
  <si>
    <t xml:space="preserve">      2008-10 Average</t>
  </si>
  <si>
    <t>New York State by County — 2007-09 Average and 2010</t>
  </si>
  <si>
    <t xml:space="preserve">      2007-09 Average</t>
  </si>
  <si>
    <t>New York State by County — 2006-08 Average and 2009</t>
  </si>
  <si>
    <t xml:space="preserve">      2006-08 Average</t>
  </si>
  <si>
    <t>New York State by County — 2005-07 Average and 2008</t>
  </si>
  <si>
    <t xml:space="preserve">      2005-07 Average</t>
  </si>
  <si>
    <t>New York State by County — 2004-06 Average and 2007</t>
  </si>
  <si>
    <t xml:space="preserve">      2004-06 Average</t>
  </si>
  <si>
    <t xml:space="preserve">      2001-03 Average</t>
  </si>
  <si>
    <r>
      <t>Property Damage</t>
    </r>
    <r>
      <rPr>
        <vertAlign val="superscript"/>
        <sz val="11"/>
        <rFont val="Arial"/>
        <family val="2"/>
      </rPr>
      <t>2</t>
    </r>
  </si>
  <si>
    <r>
      <t>Total</t>
    </r>
    <r>
      <rPr>
        <vertAlign val="superscript"/>
        <sz val="11"/>
        <rFont val="Arial"/>
        <family val="2"/>
      </rPr>
      <t>1,2</t>
    </r>
  </si>
  <si>
    <t>NOTE: The totals on this table may differ slightly from those on the other tables presenting the data in different formats because the data are derived from dynamic files whose contents are constantly being updated. Because of rounding, the Statewide, New York City, and Rest of State totals for each of the three-year average columns may differ from the total of the three-year averages of the individual counties.</t>
  </si>
  <si>
    <t>1  Based on submitted reports for reportable accidents. A reportable accident is one which involved injury or death, or damage or more than $1,000 to the property of any one person.</t>
  </si>
  <si>
    <t>New York State by County—2001-03 Average and 2004</t>
  </si>
  <si>
    <t>New York State by County—2000-02 Average and 2003</t>
  </si>
  <si>
    <t xml:space="preserve">      2000-02 Average</t>
  </si>
  <si>
    <t>New York State by County—1999-2001 Average and 2002</t>
  </si>
  <si>
    <t>1999-2001 
Average</t>
  </si>
  <si>
    <t>New York State by County—1998-2000 Average and 2001</t>
  </si>
  <si>
    <t>1998-2000 
Average</t>
  </si>
  <si>
    <r>
      <t>Total</t>
    </r>
    <r>
      <rPr>
        <vertAlign val="superscript"/>
        <sz val="11"/>
        <rFont val="Arial"/>
        <family val="2"/>
      </rPr>
      <t>1</t>
    </r>
  </si>
  <si>
    <t>Property Damage</t>
  </si>
  <si>
    <t>New York State by County—1997-99 Average and 2000</t>
  </si>
  <si>
    <t>1997-99 
Average</t>
  </si>
  <si>
    <t>1  Based on submitted reports for reportable accidents. A reportable accident is one which involved injury or death, or damage or more than $600 to the property of any one person. Effective August 1, 1991, the property damage threshold was raised to $1,000.</t>
  </si>
  <si>
    <t>2  The Vehicle and Traffic Law was amended in April 1997 to provide statutory authority for police officers to report accidents which, in their judgment, appear to meet the reporting criteria for property damage (i.e., damage in excess of $1,000 to the property of any one individual). Now, accidents are classified as reportable accidents when police check the box that indicates that it meets the criteria for reporting a property damage accident. As a result, reportable accidents that include a police report and involved only property damage have increased.</t>
  </si>
  <si>
    <t>New York State by County—1995-97 Average and 1998</t>
  </si>
  <si>
    <t>New York State by County—1994-96 Average and 1997</t>
  </si>
  <si>
    <t>1994-96 
Average</t>
  </si>
  <si>
    <t>1995-97 
Average</t>
  </si>
  <si>
    <t>New York State by County—1993-95 Average and 1996</t>
  </si>
  <si>
    <t>1993-95 
Average</t>
  </si>
  <si>
    <t>New York State by County—1996-98 Average and 1999</t>
  </si>
  <si>
    <t>1996-98
Average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</si>
</sst>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1">
    <font>
      <sz val="12"/>
      <name val="Rockwell"/>
      <family val="0"/>
    </font>
    <font>
      <b/>
      <sz val="18"/>
      <color indexed="8"/>
      <name val="Rockwell"/>
      <family val="0"/>
    </font>
    <font>
      <sz val="10"/>
      <name val="Arial"/>
      <family val="0"/>
    </font>
    <font>
      <sz val="11"/>
      <name val="Arial"/>
      <family val="2"/>
    </font>
    <font>
      <vertAlign val="superscript"/>
      <sz val="11"/>
      <name val="Arial"/>
      <family val="2"/>
    </font>
    <font>
      <i/>
      <sz val="11"/>
      <name val="Arial"/>
      <family val="2"/>
    </font>
    <font>
      <b/>
      <sz val="16"/>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6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7" fillId="28" borderId="1" applyNumberFormat="0" applyAlignment="0" applyProtection="0"/>
    <xf numFmtId="0" fontId="2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1" borderId="1" applyNumberFormat="0" applyAlignment="0" applyProtection="0"/>
    <xf numFmtId="0" fontId="35" fillId="0" borderId="6" applyNumberFormat="0" applyFill="0" applyAlignment="0" applyProtection="0"/>
    <xf numFmtId="0" fontId="36" fillId="32" borderId="0" applyNumberFormat="0" applyBorder="0" applyAlignment="0" applyProtection="0"/>
    <xf numFmtId="0" fontId="0" fillId="2" borderId="0">
      <alignment/>
      <protection/>
    </xf>
    <xf numFmtId="0" fontId="0" fillId="33" borderId="7" applyNumberFormat="0" applyFont="0" applyAlignment="0" applyProtection="0"/>
    <xf numFmtId="0" fontId="37" fillId="28"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0" fontId="0" fillId="2" borderId="0" xfId="0" applyNumberFormat="1" applyAlignment="1">
      <alignment/>
    </xf>
    <xf numFmtId="0" fontId="3" fillId="2" borderId="0" xfId="0" applyNumberFormat="1" applyFont="1" applyAlignment="1">
      <alignment/>
    </xf>
    <xf numFmtId="0" fontId="3" fillId="2" borderId="0" xfId="0" applyNumberFormat="1" applyFont="1" applyAlignment="1">
      <alignment horizontal="right"/>
    </xf>
    <xf numFmtId="0" fontId="3" fillId="2" borderId="10" xfId="0" applyNumberFormat="1" applyFont="1" applyBorder="1" applyAlignment="1">
      <alignment/>
    </xf>
    <xf numFmtId="0" fontId="3" fillId="2" borderId="11" xfId="0" applyNumberFormat="1" applyFont="1" applyBorder="1" applyAlignment="1">
      <alignment/>
    </xf>
    <xf numFmtId="0" fontId="3" fillId="2" borderId="11" xfId="0" applyNumberFormat="1" applyFont="1" applyBorder="1" applyAlignment="1">
      <alignment horizontal="right"/>
    </xf>
    <xf numFmtId="37" fontId="3" fillId="2" borderId="0" xfId="0" applyNumberFormat="1" applyFont="1" applyAlignment="1">
      <alignment/>
    </xf>
    <xf numFmtId="3" fontId="3" fillId="2" borderId="0" xfId="0" applyNumberFormat="1" applyFont="1" applyAlignment="1">
      <alignment horizontal="right"/>
    </xf>
    <xf numFmtId="3" fontId="3" fillId="2" borderId="0" xfId="0" applyNumberFormat="1" applyFont="1" applyAlignment="1">
      <alignment/>
    </xf>
    <xf numFmtId="0" fontId="5" fillId="2" borderId="0" xfId="0" applyFont="1" applyAlignment="1" quotePrefix="1">
      <alignment horizontal="left"/>
    </xf>
    <xf numFmtId="0" fontId="5" fillId="2" borderId="0" xfId="0" applyFont="1" applyAlignment="1" quotePrefix="1">
      <alignment horizontal="right"/>
    </xf>
    <xf numFmtId="0" fontId="3" fillId="2" borderId="0" xfId="0" applyFont="1" applyAlignment="1">
      <alignment/>
    </xf>
    <xf numFmtId="0" fontId="6" fillId="2" borderId="0" xfId="0" applyNumberFormat="1" applyFont="1" applyAlignment="1">
      <alignment/>
    </xf>
    <xf numFmtId="3" fontId="3" fillId="2" borderId="0" xfId="0" applyNumberFormat="1" applyFont="1" applyBorder="1" applyAlignment="1">
      <alignment/>
    </xf>
    <xf numFmtId="3" fontId="3" fillId="2" borderId="10" xfId="0" applyNumberFormat="1" applyFont="1" applyBorder="1" applyAlignment="1">
      <alignment/>
    </xf>
    <xf numFmtId="3" fontId="3" fillId="2" borderId="10" xfId="0" applyNumberFormat="1" applyFont="1" applyBorder="1" applyAlignment="1">
      <alignment horizontal="right"/>
    </xf>
    <xf numFmtId="5" fontId="3" fillId="2" borderId="0" xfId="0" applyNumberFormat="1" applyFont="1" applyAlignment="1" applyProtection="1">
      <alignment/>
      <protection locked="0"/>
    </xf>
    <xf numFmtId="0" fontId="3" fillId="2" borderId="11" xfId="0" applyNumberFormat="1" applyFont="1" applyBorder="1" applyAlignment="1">
      <alignment horizontal="right" wrapText="1"/>
    </xf>
    <xf numFmtId="0" fontId="3" fillId="34" borderId="0" xfId="0" applyNumberFormat="1" applyFont="1" applyFill="1" applyBorder="1" applyAlignment="1">
      <alignment/>
    </xf>
    <xf numFmtId="3" fontId="3" fillId="34" borderId="0" xfId="0" applyNumberFormat="1" applyFont="1" applyFill="1" applyBorder="1" applyAlignment="1">
      <alignment horizontal="right"/>
    </xf>
    <xf numFmtId="3" fontId="3" fillId="34" borderId="0" xfId="0" applyNumberFormat="1" applyFont="1" applyFill="1" applyBorder="1" applyAlignment="1">
      <alignment/>
    </xf>
    <xf numFmtId="0" fontId="3" fillId="2" borderId="0" xfId="0" applyNumberFormat="1" applyFont="1" applyFill="1" applyAlignment="1">
      <alignment/>
    </xf>
    <xf numFmtId="3" fontId="3" fillId="2" borderId="0" xfId="0" applyNumberFormat="1" applyFont="1" applyFill="1" applyAlignment="1">
      <alignment/>
    </xf>
    <xf numFmtId="3" fontId="3" fillId="2" borderId="0" xfId="0" applyNumberFormat="1" applyFont="1" applyFill="1" applyAlignment="1">
      <alignment horizontal="right"/>
    </xf>
    <xf numFmtId="0" fontId="3" fillId="2" borderId="10" xfId="0" applyNumberFormat="1" applyFont="1" applyFill="1" applyBorder="1" applyAlignment="1">
      <alignment/>
    </xf>
    <xf numFmtId="3" fontId="3" fillId="2" borderId="10" xfId="0" applyNumberFormat="1" applyFont="1" applyFill="1" applyBorder="1" applyAlignment="1">
      <alignment/>
    </xf>
    <xf numFmtId="0" fontId="5" fillId="2" borderId="0" xfId="0" applyFont="1" applyFill="1" applyAlignment="1" quotePrefix="1">
      <alignment horizontal="left"/>
    </xf>
    <xf numFmtId="0" fontId="3" fillId="2" borderId="0" xfId="0" applyFont="1" applyFill="1" applyAlignment="1">
      <alignment/>
    </xf>
    <xf numFmtId="0" fontId="3" fillId="2" borderId="0" xfId="0" applyNumberFormat="1" applyFont="1" applyAlignment="1">
      <alignment horizontal="left" wrapText="1"/>
    </xf>
    <xf numFmtId="5" fontId="3" fillId="2" borderId="0" xfId="0" applyNumberFormat="1" applyFont="1" applyAlignment="1" applyProtection="1">
      <alignment horizontal="left" wrapText="1"/>
      <protection locked="0"/>
    </xf>
    <xf numFmtId="0" fontId="3" fillId="2" borderId="12" xfId="0" applyNumberFormat="1" applyFont="1" applyBorder="1" applyAlignment="1">
      <alignment horizontal="center"/>
    </xf>
    <xf numFmtId="0" fontId="3" fillId="2" borderId="0" xfId="0" applyNumberFormat="1" applyFont="1" applyFill="1" applyAlignment="1">
      <alignment horizontal="left" wrapText="1"/>
    </xf>
    <xf numFmtId="5" fontId="3" fillId="2" borderId="0" xfId="0" applyNumberFormat="1" applyFont="1" applyFill="1" applyAlignment="1">
      <alignment horizontal="left" wrapText="1"/>
    </xf>
    <xf numFmtId="5" fontId="3" fillId="2" borderId="0" xfId="0" applyNumberFormat="1" applyFont="1" applyAlignment="1" applyProtection="1">
      <alignment/>
      <protection locked="0"/>
    </xf>
    <xf numFmtId="1" fontId="3" fillId="2" borderId="0" xfId="0" applyNumberFormat="1" applyFont="1" applyAlignment="1">
      <alignment/>
    </xf>
    <xf numFmtId="0" fontId="3" fillId="2" borderId="0" xfId="55" applyNumberFormat="1" applyFont="1">
      <alignment/>
      <protection/>
    </xf>
    <xf numFmtId="3" fontId="3" fillId="2" borderId="0" xfId="55" applyNumberFormat="1" applyFont="1">
      <alignment/>
      <protection/>
    </xf>
    <xf numFmtId="3" fontId="3" fillId="2" borderId="0" xfId="55" applyNumberFormat="1" applyFont="1" applyAlignment="1">
      <alignment horizontal="right"/>
      <protection/>
    </xf>
    <xf numFmtId="0" fontId="3" fillId="2" borderId="10" xfId="55" applyNumberFormat="1" applyFont="1" applyBorder="1">
      <alignment/>
      <protection/>
    </xf>
    <xf numFmtId="3" fontId="3" fillId="2" borderId="10" xfId="55" applyNumberFormat="1" applyFont="1" applyBorder="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93"/>
  <sheetViews>
    <sheetView tabSelected="1" zoomScalePageLayoutView="0" workbookViewId="0" topLeftCell="A1">
      <selection activeCell="A1" sqref="A1"/>
    </sheetView>
  </sheetViews>
  <sheetFormatPr defaultColWidth="11.6640625" defaultRowHeight="15.75"/>
  <cols>
    <col min="1" max="1" width="25.6640625" style="1" customWidth="1"/>
    <col min="2" max="2" width="10.6640625" style="1" customWidth="1"/>
    <col min="3" max="3" width="10.6640625" style="2" customWidth="1"/>
    <col min="4" max="4" width="3.6640625" style="1" customWidth="1"/>
    <col min="5" max="6" width="10.6640625" style="1" customWidth="1"/>
    <col min="7" max="7" width="3.6640625" style="1" customWidth="1"/>
    <col min="8" max="9" width="10.6640625" style="1" customWidth="1"/>
    <col min="10" max="10" width="3.6640625" style="1" customWidth="1"/>
    <col min="11" max="12" width="10.6640625" style="1" customWidth="1"/>
    <col min="13" max="16384" width="11.6640625" style="1" customWidth="1"/>
  </cols>
  <sheetData>
    <row r="1" ht="20.25">
      <c r="A1" s="12" t="s">
        <v>0</v>
      </c>
    </row>
    <row r="2" ht="20.25">
      <c r="A2" s="12" t="s">
        <v>73</v>
      </c>
    </row>
    <row r="4" spans="1:12" ht="16.5">
      <c r="A4" s="3"/>
      <c r="B4" s="30" t="s">
        <v>74</v>
      </c>
      <c r="C4" s="30"/>
      <c r="D4" s="3"/>
      <c r="E4" s="30" t="s">
        <v>69</v>
      </c>
      <c r="F4" s="30"/>
      <c r="G4" s="3"/>
      <c r="H4" s="30" t="s">
        <v>70</v>
      </c>
      <c r="I4" s="30"/>
      <c r="J4" s="3"/>
      <c r="K4" s="30" t="s">
        <v>75</v>
      </c>
      <c r="L4" s="30"/>
    </row>
    <row r="5" spans="1:12" ht="28.5">
      <c r="A5" s="4" t="s">
        <v>1</v>
      </c>
      <c r="B5" s="17" t="s">
        <v>80</v>
      </c>
      <c r="C5" s="5">
        <v>2013</v>
      </c>
      <c r="D5" s="4"/>
      <c r="E5" s="17" t="s">
        <v>80</v>
      </c>
      <c r="F5" s="5">
        <f>C5</f>
        <v>2013</v>
      </c>
      <c r="G5" s="4"/>
      <c r="H5" s="17" t="s">
        <v>80</v>
      </c>
      <c r="I5" s="4">
        <f>C5</f>
        <v>2013</v>
      </c>
      <c r="J5" s="4"/>
      <c r="K5" s="17" t="s">
        <v>80</v>
      </c>
      <c r="L5" s="4">
        <f>C5</f>
        <v>2013</v>
      </c>
    </row>
    <row r="6" ht="14.25">
      <c r="H6" s="6"/>
    </row>
    <row r="7" spans="1:13" ht="14.25">
      <c r="A7" s="1" t="s">
        <v>2</v>
      </c>
      <c r="B7" s="7">
        <v>305894.6666666666</v>
      </c>
      <c r="C7" s="7">
        <v>304804</v>
      </c>
      <c r="D7" s="8" t="s">
        <v>3</v>
      </c>
      <c r="E7" s="7">
        <v>1092.6666666666667</v>
      </c>
      <c r="F7" s="7">
        <v>1109</v>
      </c>
      <c r="G7" s="8"/>
      <c r="H7" s="7">
        <v>128494.3333333333</v>
      </c>
      <c r="I7" s="7">
        <v>124505</v>
      </c>
      <c r="J7" s="8"/>
      <c r="K7" s="7">
        <v>176307.66666666663</v>
      </c>
      <c r="L7" s="7">
        <v>179190</v>
      </c>
      <c r="M7" s="8"/>
    </row>
    <row r="8" spans="2:13" ht="14.25">
      <c r="B8" s="7"/>
      <c r="C8" s="7"/>
      <c r="D8" s="8"/>
      <c r="E8" s="8"/>
      <c r="F8" s="8"/>
      <c r="G8" s="8" t="s">
        <v>3</v>
      </c>
      <c r="H8" s="8"/>
      <c r="I8" s="8"/>
      <c r="J8" s="8" t="s">
        <v>3</v>
      </c>
      <c r="K8" s="8"/>
      <c r="L8" s="8"/>
      <c r="M8" s="8"/>
    </row>
    <row r="9" spans="1:13" ht="14.25">
      <c r="A9" s="1" t="s">
        <v>4</v>
      </c>
      <c r="B9" s="7">
        <f aca="true" t="shared" si="0" ref="B9:B64">E9+H9+K9</f>
        <v>73402.33333333334</v>
      </c>
      <c r="C9" s="7">
        <f>SUM(C10:C14)</f>
        <v>70403</v>
      </c>
      <c r="D9" s="8" t="s">
        <v>3</v>
      </c>
      <c r="E9" s="7">
        <f>SUM(E10:E14)</f>
        <v>254.66666666666666</v>
      </c>
      <c r="F9" s="8">
        <f>SUM(F10:F14)</f>
        <v>281</v>
      </c>
      <c r="G9" s="8"/>
      <c r="H9" s="7">
        <f>SUM(H10:H14)</f>
        <v>50236.66666666667</v>
      </c>
      <c r="I9" s="8">
        <f>SUM(I10:I14)</f>
        <v>48910</v>
      </c>
      <c r="J9" s="8"/>
      <c r="K9" s="7">
        <f>SUM(K10:K14)</f>
        <v>22911</v>
      </c>
      <c r="L9" s="8">
        <f>SUM(L10:L14)</f>
        <v>21212</v>
      </c>
      <c r="M9" s="8"/>
    </row>
    <row r="10" spans="1:13" ht="14.25">
      <c r="A10" s="1" t="s">
        <v>5</v>
      </c>
      <c r="B10" s="7">
        <f t="shared" si="0"/>
        <v>11056.333333333332</v>
      </c>
      <c r="C10" s="7">
        <f>F10+I10+L10</f>
        <v>11109</v>
      </c>
      <c r="D10" s="8"/>
      <c r="E10" s="8">
        <v>46.333333333333336</v>
      </c>
      <c r="F10" s="8">
        <v>49</v>
      </c>
      <c r="G10" s="8"/>
      <c r="H10" s="8">
        <v>7959.333333333333</v>
      </c>
      <c r="I10" s="8">
        <v>8058</v>
      </c>
      <c r="J10" s="8"/>
      <c r="K10" s="8">
        <v>3050.6666666666665</v>
      </c>
      <c r="L10" s="8">
        <v>3002</v>
      </c>
      <c r="M10" s="8"/>
    </row>
    <row r="11" spans="1:13" ht="14.25">
      <c r="A11" s="1" t="s">
        <v>6</v>
      </c>
      <c r="B11" s="7">
        <f t="shared" si="0"/>
        <v>22026.666666666664</v>
      </c>
      <c r="C11" s="7">
        <f>F11+I11+L11</f>
        <v>20732</v>
      </c>
      <c r="D11" s="8"/>
      <c r="E11" s="8">
        <v>76</v>
      </c>
      <c r="F11" s="8">
        <v>83</v>
      </c>
      <c r="G11" s="8"/>
      <c r="H11" s="8">
        <v>16103.666666666666</v>
      </c>
      <c r="I11" s="8">
        <v>15406</v>
      </c>
      <c r="J11" s="8"/>
      <c r="K11" s="8">
        <v>5847</v>
      </c>
      <c r="L11" s="8">
        <v>5243</v>
      </c>
      <c r="M11" s="8"/>
    </row>
    <row r="12" spans="1:13" ht="14.25">
      <c r="A12" s="1" t="s">
        <v>7</v>
      </c>
      <c r="B12" s="7">
        <f t="shared" si="0"/>
        <v>13609</v>
      </c>
      <c r="C12" s="7">
        <f>F12+I12+L12</f>
        <v>13160</v>
      </c>
      <c r="D12" s="8"/>
      <c r="E12" s="8">
        <v>43.666666666666664</v>
      </c>
      <c r="F12" s="8">
        <v>46</v>
      </c>
      <c r="G12" s="8"/>
      <c r="H12" s="8">
        <v>9004</v>
      </c>
      <c r="I12" s="8">
        <v>8766</v>
      </c>
      <c r="J12" s="8"/>
      <c r="K12" s="8">
        <v>4561.333333333333</v>
      </c>
      <c r="L12" s="8">
        <v>4348</v>
      </c>
      <c r="M12" s="8"/>
    </row>
    <row r="13" spans="1:13" ht="14.25">
      <c r="A13" s="1" t="s">
        <v>8</v>
      </c>
      <c r="B13" s="7">
        <f t="shared" si="0"/>
        <v>21737.666666666668</v>
      </c>
      <c r="C13" s="7">
        <f>F13+I13+L13</f>
        <v>20774</v>
      </c>
      <c r="D13" s="8"/>
      <c r="E13" s="8">
        <v>70</v>
      </c>
      <c r="F13" s="8">
        <v>92</v>
      </c>
      <c r="G13" s="8"/>
      <c r="H13" s="8">
        <v>14223.333333333334</v>
      </c>
      <c r="I13" s="8">
        <v>13882</v>
      </c>
      <c r="J13" s="8"/>
      <c r="K13" s="8">
        <v>7444.333333333333</v>
      </c>
      <c r="L13" s="8">
        <v>6800</v>
      </c>
      <c r="M13" s="8"/>
    </row>
    <row r="14" spans="1:13" ht="14.25">
      <c r="A14" s="1" t="s">
        <v>9</v>
      </c>
      <c r="B14" s="7">
        <f t="shared" si="0"/>
        <v>4972.666666666667</v>
      </c>
      <c r="C14" s="7">
        <f>F14+I14+L14</f>
        <v>4628</v>
      </c>
      <c r="D14" s="8"/>
      <c r="E14" s="8">
        <v>18.666666666666668</v>
      </c>
      <c r="F14" s="8">
        <v>11</v>
      </c>
      <c r="G14" s="8"/>
      <c r="H14" s="8">
        <v>2946.3333333333335</v>
      </c>
      <c r="I14" s="8">
        <v>2798</v>
      </c>
      <c r="J14" s="8"/>
      <c r="K14" s="8">
        <v>2007.6666666666667</v>
      </c>
      <c r="L14" s="8">
        <v>1819</v>
      </c>
      <c r="M14" s="8"/>
    </row>
    <row r="15" spans="2:13" ht="14.25">
      <c r="B15" s="7"/>
      <c r="C15" s="7"/>
      <c r="D15" s="8"/>
      <c r="E15" s="8"/>
      <c r="F15" s="8"/>
      <c r="G15" s="8"/>
      <c r="H15" s="8"/>
      <c r="I15" s="8"/>
      <c r="J15" s="8"/>
      <c r="K15" s="8"/>
      <c r="L15" s="8"/>
      <c r="M15" s="8"/>
    </row>
    <row r="16" spans="1:13" ht="14.25">
      <c r="A16" s="1" t="s">
        <v>10</v>
      </c>
      <c r="B16" s="7">
        <v>232492.33333333326</v>
      </c>
      <c r="C16" s="7">
        <v>232942</v>
      </c>
      <c r="D16" s="8"/>
      <c r="E16" s="7">
        <v>838</v>
      </c>
      <c r="F16" s="7">
        <v>828</v>
      </c>
      <c r="G16" s="8"/>
      <c r="H16" s="7">
        <v>78257.66666666663</v>
      </c>
      <c r="I16" s="7">
        <v>75214</v>
      </c>
      <c r="J16" s="8"/>
      <c r="K16" s="7">
        <v>153396.66666666663</v>
      </c>
      <c r="L16" s="7">
        <v>156900</v>
      </c>
      <c r="M16" s="8"/>
    </row>
    <row r="17" spans="1:13" ht="14.25">
      <c r="A17" s="1" t="s">
        <v>11</v>
      </c>
      <c r="B17" s="7">
        <f t="shared" si="0"/>
        <v>7732.333333333334</v>
      </c>
      <c r="C17" s="7">
        <f aca="true" t="shared" si="1" ref="C17:C22">F17+I17+L17</f>
        <v>7476</v>
      </c>
      <c r="D17" s="8"/>
      <c r="E17" s="8">
        <v>17.333333333333332</v>
      </c>
      <c r="F17" s="8">
        <v>10</v>
      </c>
      <c r="G17" s="8"/>
      <c r="H17" s="8">
        <v>2447</v>
      </c>
      <c r="I17" s="8">
        <v>2272</v>
      </c>
      <c r="J17" s="8"/>
      <c r="K17" s="8">
        <v>5268</v>
      </c>
      <c r="L17" s="8">
        <v>5194</v>
      </c>
      <c r="M17" s="8"/>
    </row>
    <row r="18" spans="1:13" ht="14.25">
      <c r="A18" s="1" t="s">
        <v>12</v>
      </c>
      <c r="B18" s="7">
        <f t="shared" si="0"/>
        <v>889</v>
      </c>
      <c r="C18" s="7">
        <f t="shared" si="1"/>
        <v>881</v>
      </c>
      <c r="D18" s="8"/>
      <c r="E18" s="8">
        <v>4.333333333333333</v>
      </c>
      <c r="F18" s="8">
        <v>5</v>
      </c>
      <c r="G18" s="8"/>
      <c r="H18" s="8">
        <v>224</v>
      </c>
      <c r="I18" s="8">
        <v>217</v>
      </c>
      <c r="J18" s="8"/>
      <c r="K18" s="8">
        <v>660.6666666666666</v>
      </c>
      <c r="L18" s="8">
        <v>659</v>
      </c>
      <c r="M18" s="8"/>
    </row>
    <row r="19" spans="1:13" ht="14.25">
      <c r="A19" s="1" t="s">
        <v>13</v>
      </c>
      <c r="B19" s="7">
        <f t="shared" si="0"/>
        <v>3925.666666666667</v>
      </c>
      <c r="C19" s="7">
        <f t="shared" si="1"/>
        <v>4010</v>
      </c>
      <c r="D19" s="8"/>
      <c r="E19" s="8">
        <v>12</v>
      </c>
      <c r="F19" s="8">
        <v>11</v>
      </c>
      <c r="G19" s="8"/>
      <c r="H19" s="8">
        <v>1222.3333333333333</v>
      </c>
      <c r="I19" s="8">
        <v>1079</v>
      </c>
      <c r="J19" s="8"/>
      <c r="K19" s="8">
        <v>2691.3333333333335</v>
      </c>
      <c r="L19" s="8">
        <v>2920</v>
      </c>
      <c r="M19" s="8"/>
    </row>
    <row r="20" spans="1:13" ht="14.25">
      <c r="A20" s="1" t="s">
        <v>14</v>
      </c>
      <c r="B20" s="7">
        <f t="shared" si="0"/>
        <v>1608.3333333333333</v>
      </c>
      <c r="C20" s="7">
        <f t="shared" si="1"/>
        <v>1596</v>
      </c>
      <c r="D20" s="8"/>
      <c r="E20" s="8">
        <v>11.333333333333334</v>
      </c>
      <c r="F20" s="8">
        <v>11</v>
      </c>
      <c r="G20" s="8"/>
      <c r="H20" s="8">
        <v>416</v>
      </c>
      <c r="I20" s="8">
        <v>389</v>
      </c>
      <c r="J20" s="8"/>
      <c r="K20" s="8">
        <v>1181</v>
      </c>
      <c r="L20" s="8">
        <v>1196</v>
      </c>
      <c r="M20" s="8"/>
    </row>
    <row r="21" spans="1:13" ht="14.25">
      <c r="A21" s="1" t="s">
        <v>15</v>
      </c>
      <c r="B21" s="7">
        <f t="shared" si="0"/>
        <v>1663.6666666666665</v>
      </c>
      <c r="C21" s="7">
        <f t="shared" si="1"/>
        <v>1600</v>
      </c>
      <c r="D21" s="8"/>
      <c r="E21" s="8">
        <v>6.333333333333333</v>
      </c>
      <c r="F21" s="8">
        <v>7</v>
      </c>
      <c r="G21" s="8"/>
      <c r="H21" s="8">
        <v>498</v>
      </c>
      <c r="I21" s="8">
        <v>465</v>
      </c>
      <c r="J21" s="8"/>
      <c r="K21" s="8">
        <v>1159.3333333333333</v>
      </c>
      <c r="L21" s="8">
        <v>1128</v>
      </c>
      <c r="M21" s="8"/>
    </row>
    <row r="22" spans="1:13" ht="14.25">
      <c r="A22" s="1" t="s">
        <v>16</v>
      </c>
      <c r="B22" s="7">
        <f t="shared" si="0"/>
        <v>2604.666666666667</v>
      </c>
      <c r="C22" s="7">
        <f t="shared" si="1"/>
        <v>2728</v>
      </c>
      <c r="D22" s="8"/>
      <c r="E22" s="8">
        <v>13.666666666666666</v>
      </c>
      <c r="F22" s="8">
        <v>10</v>
      </c>
      <c r="G22" s="8"/>
      <c r="H22" s="8">
        <v>738.3333333333334</v>
      </c>
      <c r="I22" s="8">
        <v>740</v>
      </c>
      <c r="J22" s="8"/>
      <c r="K22" s="8">
        <v>1852.6666666666667</v>
      </c>
      <c r="L22" s="8">
        <v>1978</v>
      </c>
      <c r="M22" s="8"/>
    </row>
    <row r="23" spans="1:13" ht="14.25">
      <c r="A23" s="1" t="s">
        <v>17</v>
      </c>
      <c r="B23" s="7">
        <f t="shared" si="0"/>
        <v>1586</v>
      </c>
      <c r="C23" s="7">
        <f aca="true" t="shared" si="2" ref="C23:C28">F23+I23+L23</f>
        <v>1519</v>
      </c>
      <c r="D23" s="8"/>
      <c r="E23" s="8">
        <v>9.666666666666666</v>
      </c>
      <c r="F23" s="8">
        <v>7</v>
      </c>
      <c r="G23" s="8"/>
      <c r="H23" s="8">
        <v>469.6666666666667</v>
      </c>
      <c r="I23" s="8">
        <v>440</v>
      </c>
      <c r="J23" s="8"/>
      <c r="K23" s="8">
        <v>1106.6666666666667</v>
      </c>
      <c r="L23" s="8">
        <v>1072</v>
      </c>
      <c r="M23" s="8"/>
    </row>
    <row r="24" spans="1:13" ht="14.25">
      <c r="A24" s="1" t="s">
        <v>18</v>
      </c>
      <c r="B24" s="7">
        <f t="shared" si="0"/>
        <v>1144.6666666666667</v>
      </c>
      <c r="C24" s="7">
        <f t="shared" si="2"/>
        <v>1164</v>
      </c>
      <c r="D24" s="8"/>
      <c r="E24" s="8">
        <v>7.666666666666667</v>
      </c>
      <c r="F24" s="8">
        <v>7</v>
      </c>
      <c r="G24" s="8"/>
      <c r="H24" s="8">
        <v>294.6666666666667</v>
      </c>
      <c r="I24" s="8">
        <v>227</v>
      </c>
      <c r="J24" s="8"/>
      <c r="K24" s="8">
        <v>842.3333333333334</v>
      </c>
      <c r="L24" s="8">
        <v>930</v>
      </c>
      <c r="M24" s="8"/>
    </row>
    <row r="25" spans="1:13" ht="14.25">
      <c r="A25" s="1" t="s">
        <v>19</v>
      </c>
      <c r="B25" s="7">
        <f t="shared" si="0"/>
        <v>1730.6666666666665</v>
      </c>
      <c r="C25" s="7">
        <f t="shared" si="2"/>
        <v>1797</v>
      </c>
      <c r="D25" s="8"/>
      <c r="E25" s="8">
        <v>7.333333333333333</v>
      </c>
      <c r="F25" s="8">
        <v>8</v>
      </c>
      <c r="G25" s="8"/>
      <c r="H25" s="8">
        <v>414</v>
      </c>
      <c r="I25" s="8">
        <v>380</v>
      </c>
      <c r="J25" s="8"/>
      <c r="K25" s="8">
        <v>1309.3333333333333</v>
      </c>
      <c r="L25" s="8">
        <v>1409</v>
      </c>
      <c r="M25" s="8"/>
    </row>
    <row r="26" spans="1:13" ht="14.25">
      <c r="A26" s="1" t="s">
        <v>20</v>
      </c>
      <c r="B26" s="7">
        <f t="shared" si="0"/>
        <v>1375.6666666666667</v>
      </c>
      <c r="C26" s="7">
        <f t="shared" si="2"/>
        <v>1425</v>
      </c>
      <c r="D26" s="8"/>
      <c r="E26" s="8">
        <v>6</v>
      </c>
      <c r="F26" s="8">
        <v>9</v>
      </c>
      <c r="G26" s="8"/>
      <c r="H26" s="8">
        <v>393.3333333333333</v>
      </c>
      <c r="I26" s="8">
        <v>358</v>
      </c>
      <c r="J26" s="8"/>
      <c r="K26" s="8">
        <v>976.3333333333334</v>
      </c>
      <c r="L26" s="8">
        <v>1058</v>
      </c>
      <c r="M26" s="8"/>
    </row>
    <row r="27" spans="1:13" ht="14.25">
      <c r="A27" s="1" t="s">
        <v>21</v>
      </c>
      <c r="B27" s="7">
        <f t="shared" si="0"/>
        <v>1172.3333333333335</v>
      </c>
      <c r="C27" s="7">
        <f t="shared" si="2"/>
        <v>1353</v>
      </c>
      <c r="D27" s="8"/>
      <c r="E27" s="8">
        <v>2.6666666666666665</v>
      </c>
      <c r="F27" s="8">
        <v>3</v>
      </c>
      <c r="G27" s="8"/>
      <c r="H27" s="8">
        <v>289.3333333333333</v>
      </c>
      <c r="I27" s="8">
        <v>299</v>
      </c>
      <c r="J27" s="8"/>
      <c r="K27" s="8">
        <v>880.3333333333334</v>
      </c>
      <c r="L27" s="8">
        <v>1051</v>
      </c>
      <c r="M27" s="8"/>
    </row>
    <row r="28" spans="1:13" ht="14.25">
      <c r="A28" s="1" t="s">
        <v>22</v>
      </c>
      <c r="B28" s="7">
        <f t="shared" si="0"/>
        <v>1100.6666666666667</v>
      </c>
      <c r="C28" s="7">
        <f t="shared" si="2"/>
        <v>1223</v>
      </c>
      <c r="D28" s="8"/>
      <c r="E28" s="8">
        <v>6.666666666666667</v>
      </c>
      <c r="F28" s="8">
        <v>8</v>
      </c>
      <c r="G28" s="8"/>
      <c r="H28" s="8">
        <v>284.6666666666667</v>
      </c>
      <c r="I28" s="8">
        <v>267</v>
      </c>
      <c r="J28" s="8"/>
      <c r="K28" s="8">
        <v>809.3333333333334</v>
      </c>
      <c r="L28" s="8">
        <v>948</v>
      </c>
      <c r="M28" s="8"/>
    </row>
    <row r="29" spans="1:13" ht="14.25">
      <c r="A29" s="1" t="s">
        <v>23</v>
      </c>
      <c r="B29" s="7">
        <f t="shared" si="0"/>
        <v>6113.333333333333</v>
      </c>
      <c r="C29" s="7">
        <f aca="true" t="shared" si="3" ref="C29:C34">F29+I29+L29</f>
        <v>6174</v>
      </c>
      <c r="D29" s="8"/>
      <c r="E29" s="8">
        <v>17</v>
      </c>
      <c r="F29" s="8">
        <v>27</v>
      </c>
      <c r="G29" s="8"/>
      <c r="H29" s="8">
        <v>2039.3333333333333</v>
      </c>
      <c r="I29" s="8">
        <v>1999</v>
      </c>
      <c r="J29" s="8"/>
      <c r="K29" s="8">
        <v>4057</v>
      </c>
      <c r="L29" s="8">
        <v>4148</v>
      </c>
      <c r="M29" s="8"/>
    </row>
    <row r="30" spans="1:13" ht="14.25">
      <c r="A30" s="1" t="s">
        <v>24</v>
      </c>
      <c r="B30" s="7">
        <f t="shared" si="0"/>
        <v>16792.666666666664</v>
      </c>
      <c r="C30" s="7">
        <f t="shared" si="3"/>
        <v>16593</v>
      </c>
      <c r="D30" s="8"/>
      <c r="E30" s="8">
        <v>48.333333333333336</v>
      </c>
      <c r="F30" s="8">
        <v>52</v>
      </c>
      <c r="G30" s="8"/>
      <c r="H30" s="8">
        <v>6805.666666666667</v>
      </c>
      <c r="I30" s="8">
        <v>6406</v>
      </c>
      <c r="J30" s="8"/>
      <c r="K30" s="8">
        <v>9938.666666666666</v>
      </c>
      <c r="L30" s="8">
        <v>10135</v>
      </c>
      <c r="M30" s="8"/>
    </row>
    <row r="31" spans="1:13" ht="14.25">
      <c r="A31" s="1" t="s">
        <v>25</v>
      </c>
      <c r="B31" s="7">
        <f t="shared" si="0"/>
        <v>1023</v>
      </c>
      <c r="C31" s="7">
        <f t="shared" si="3"/>
        <v>1041</v>
      </c>
      <c r="D31" s="8"/>
      <c r="E31" s="8">
        <v>6</v>
      </c>
      <c r="F31" s="8">
        <v>1</v>
      </c>
      <c r="G31" s="8"/>
      <c r="H31" s="8">
        <v>225</v>
      </c>
      <c r="I31" s="8">
        <v>203</v>
      </c>
      <c r="J31" s="8"/>
      <c r="K31" s="8">
        <v>792</v>
      </c>
      <c r="L31" s="8">
        <v>837</v>
      </c>
      <c r="M31" s="8"/>
    </row>
    <row r="32" spans="1:13" ht="14.25">
      <c r="A32" s="1" t="s">
        <v>26</v>
      </c>
      <c r="B32" s="7">
        <f t="shared" si="0"/>
        <v>1122.6666666666667</v>
      </c>
      <c r="C32" s="7">
        <f t="shared" si="3"/>
        <v>1090</v>
      </c>
      <c r="D32" s="8"/>
      <c r="E32" s="8">
        <v>6.666666666666667</v>
      </c>
      <c r="F32" s="8">
        <v>1</v>
      </c>
      <c r="G32" s="8"/>
      <c r="H32" s="8">
        <v>287</v>
      </c>
      <c r="I32" s="8">
        <v>258</v>
      </c>
      <c r="J32" s="8"/>
      <c r="K32" s="8">
        <v>829</v>
      </c>
      <c r="L32" s="8">
        <v>831</v>
      </c>
      <c r="M32" s="8"/>
    </row>
    <row r="33" spans="1:13" ht="14.25">
      <c r="A33" s="1" t="s">
        <v>27</v>
      </c>
      <c r="B33" s="7">
        <f t="shared" si="0"/>
        <v>939.6666666666666</v>
      </c>
      <c r="C33" s="7">
        <f t="shared" si="3"/>
        <v>949</v>
      </c>
      <c r="D33" s="8"/>
      <c r="E33" s="8">
        <v>5.333333333333333</v>
      </c>
      <c r="F33" s="8">
        <v>5</v>
      </c>
      <c r="G33" s="8"/>
      <c r="H33" s="8">
        <v>329.3333333333333</v>
      </c>
      <c r="I33" s="8">
        <v>313</v>
      </c>
      <c r="J33" s="8"/>
      <c r="K33" s="8">
        <v>605</v>
      </c>
      <c r="L33" s="8">
        <v>631</v>
      </c>
      <c r="M33" s="8"/>
    </row>
    <row r="34" spans="1:13" ht="14.25">
      <c r="A34" s="1" t="s">
        <v>28</v>
      </c>
      <c r="B34" s="7">
        <f t="shared" si="0"/>
        <v>1998.6666666666667</v>
      </c>
      <c r="C34" s="7">
        <f t="shared" si="3"/>
        <v>2070</v>
      </c>
      <c r="D34" s="8"/>
      <c r="E34" s="8">
        <v>9</v>
      </c>
      <c r="F34" s="8">
        <v>8</v>
      </c>
      <c r="G34" s="8"/>
      <c r="H34" s="8">
        <v>453</v>
      </c>
      <c r="I34" s="8">
        <v>421</v>
      </c>
      <c r="J34" s="8"/>
      <c r="K34" s="8">
        <v>1536.6666666666667</v>
      </c>
      <c r="L34" s="8">
        <v>1641</v>
      </c>
      <c r="M34" s="8"/>
    </row>
    <row r="35" spans="1:13" ht="14.25">
      <c r="A35" s="1" t="s">
        <v>29</v>
      </c>
      <c r="B35" s="7">
        <f t="shared" si="0"/>
        <v>1223.6666666666667</v>
      </c>
      <c r="C35" s="7">
        <f aca="true" t="shared" si="4" ref="C35:C40">F35+I35+L35</f>
        <v>1209</v>
      </c>
      <c r="D35" s="8"/>
      <c r="E35" s="8">
        <v>5.666666666666667</v>
      </c>
      <c r="F35" s="8">
        <v>9</v>
      </c>
      <c r="G35" s="8"/>
      <c r="H35" s="8">
        <v>315</v>
      </c>
      <c r="I35" s="8">
        <v>283</v>
      </c>
      <c r="J35" s="8"/>
      <c r="K35" s="8">
        <v>903</v>
      </c>
      <c r="L35" s="8">
        <v>917</v>
      </c>
      <c r="M35" s="8"/>
    </row>
    <row r="36" spans="1:13" ht="14.25">
      <c r="A36" s="1" t="s">
        <v>30</v>
      </c>
      <c r="B36" s="7">
        <f t="shared" si="0"/>
        <v>185.66666666666669</v>
      </c>
      <c r="C36" s="7">
        <f t="shared" si="4"/>
        <v>251</v>
      </c>
      <c r="D36" s="8"/>
      <c r="E36" s="8">
        <v>0.6666666666666666</v>
      </c>
      <c r="F36" s="7">
        <v>2</v>
      </c>
      <c r="G36" s="8"/>
      <c r="H36" s="8">
        <v>38.666666666666664</v>
      </c>
      <c r="I36" s="8">
        <v>35</v>
      </c>
      <c r="J36" s="8"/>
      <c r="K36" s="8">
        <v>146.33333333333334</v>
      </c>
      <c r="L36" s="8">
        <v>214</v>
      </c>
      <c r="M36" s="8"/>
    </row>
    <row r="37" spans="1:13" ht="14.25">
      <c r="A37" s="1" t="s">
        <v>31</v>
      </c>
      <c r="B37" s="7">
        <f t="shared" si="0"/>
        <v>1133.3333333333335</v>
      </c>
      <c r="C37" s="7">
        <f t="shared" si="4"/>
        <v>1077</v>
      </c>
      <c r="D37" s="8"/>
      <c r="E37" s="8">
        <v>6.666666666666667</v>
      </c>
      <c r="F37" s="8">
        <v>5</v>
      </c>
      <c r="G37" s="8"/>
      <c r="H37" s="8">
        <v>296.3333333333333</v>
      </c>
      <c r="I37" s="8">
        <v>316</v>
      </c>
      <c r="J37" s="8"/>
      <c r="K37" s="8">
        <v>830.3333333333334</v>
      </c>
      <c r="L37" s="8">
        <v>756</v>
      </c>
      <c r="M37" s="8"/>
    </row>
    <row r="38" spans="1:13" ht="14.25">
      <c r="A38" s="1" t="s">
        <v>32</v>
      </c>
      <c r="B38" s="7">
        <f t="shared" si="0"/>
        <v>2186.3333333333335</v>
      </c>
      <c r="C38" s="7">
        <f t="shared" si="4"/>
        <v>2133</v>
      </c>
      <c r="D38" s="8"/>
      <c r="E38" s="8">
        <v>12.333333333333334</v>
      </c>
      <c r="F38" s="8">
        <v>10</v>
      </c>
      <c r="G38" s="8"/>
      <c r="H38" s="8">
        <v>674</v>
      </c>
      <c r="I38" s="8">
        <v>545</v>
      </c>
      <c r="J38" s="8"/>
      <c r="K38" s="8">
        <v>1500</v>
      </c>
      <c r="L38" s="8">
        <v>1578</v>
      </c>
      <c r="M38" s="8"/>
    </row>
    <row r="39" spans="1:13" ht="14.25">
      <c r="A39" s="1" t="s">
        <v>33</v>
      </c>
      <c r="B39" s="7">
        <f t="shared" si="0"/>
        <v>521.6666666666667</v>
      </c>
      <c r="C39" s="7">
        <f t="shared" si="4"/>
        <v>565</v>
      </c>
      <c r="D39" s="8"/>
      <c r="E39" s="8">
        <v>4</v>
      </c>
      <c r="F39" s="8">
        <v>6</v>
      </c>
      <c r="G39" s="8"/>
      <c r="H39" s="8">
        <v>123</v>
      </c>
      <c r="I39" s="8">
        <v>103</v>
      </c>
      <c r="J39" s="8"/>
      <c r="K39" s="8">
        <v>394.6666666666667</v>
      </c>
      <c r="L39" s="8">
        <v>456</v>
      </c>
      <c r="M39" s="8"/>
    </row>
    <row r="40" spans="1:13" ht="14.25">
      <c r="A40" s="1" t="s">
        <v>34</v>
      </c>
      <c r="B40" s="7">
        <f t="shared" si="0"/>
        <v>1563</v>
      </c>
      <c r="C40" s="7">
        <f t="shared" si="4"/>
        <v>1684</v>
      </c>
      <c r="D40" s="8"/>
      <c r="E40" s="8">
        <v>9.333333333333334</v>
      </c>
      <c r="F40" s="8">
        <v>1</v>
      </c>
      <c r="G40" s="8"/>
      <c r="H40" s="8">
        <v>333.3333333333333</v>
      </c>
      <c r="I40" s="8">
        <v>330</v>
      </c>
      <c r="J40" s="8"/>
      <c r="K40" s="8">
        <v>1220.3333333333333</v>
      </c>
      <c r="L40" s="8">
        <v>1353</v>
      </c>
      <c r="M40" s="8"/>
    </row>
    <row r="41" spans="1:13" ht="14.25">
      <c r="A41" s="1" t="s">
        <v>35</v>
      </c>
      <c r="B41" s="7">
        <f t="shared" si="0"/>
        <v>1501</v>
      </c>
      <c r="C41" s="7">
        <f aca="true" t="shared" si="5" ref="C41:C46">F41+I41+L41</f>
        <v>1534</v>
      </c>
      <c r="D41" s="8"/>
      <c r="E41" s="8">
        <v>7</v>
      </c>
      <c r="F41" s="8">
        <v>8</v>
      </c>
      <c r="G41" s="8"/>
      <c r="H41" s="8">
        <v>370.3333333333333</v>
      </c>
      <c r="I41" s="8">
        <v>356</v>
      </c>
      <c r="J41" s="8"/>
      <c r="K41" s="8">
        <v>1123.6666666666667</v>
      </c>
      <c r="L41" s="8">
        <v>1170</v>
      </c>
      <c r="M41" s="8"/>
    </row>
    <row r="42" spans="1:13" ht="14.25">
      <c r="A42" s="1" t="s">
        <v>36</v>
      </c>
      <c r="B42" s="7">
        <f t="shared" si="0"/>
        <v>14733</v>
      </c>
      <c r="C42" s="7">
        <f t="shared" si="5"/>
        <v>14167</v>
      </c>
      <c r="D42" s="8"/>
      <c r="E42" s="8">
        <v>41</v>
      </c>
      <c r="F42" s="8">
        <v>33</v>
      </c>
      <c r="G42" s="8"/>
      <c r="H42" s="8">
        <v>4851.333333333333</v>
      </c>
      <c r="I42" s="8">
        <v>4492</v>
      </c>
      <c r="J42" s="8"/>
      <c r="K42" s="8">
        <v>9840.666666666666</v>
      </c>
      <c r="L42" s="8">
        <v>9642</v>
      </c>
      <c r="M42" s="8"/>
    </row>
    <row r="43" spans="1:13" ht="14.25">
      <c r="A43" s="1" t="s">
        <v>37</v>
      </c>
      <c r="B43" s="7">
        <f t="shared" si="0"/>
        <v>1092.3333333333333</v>
      </c>
      <c r="C43" s="7">
        <f t="shared" si="5"/>
        <v>1169</v>
      </c>
      <c r="D43" s="8"/>
      <c r="E43" s="8">
        <v>5.333333333333333</v>
      </c>
      <c r="F43" s="8">
        <v>5</v>
      </c>
      <c r="G43" s="8"/>
      <c r="H43" s="8">
        <v>282</v>
      </c>
      <c r="I43" s="8">
        <v>262</v>
      </c>
      <c r="J43" s="8"/>
      <c r="K43" s="8">
        <v>805</v>
      </c>
      <c r="L43" s="8">
        <v>902</v>
      </c>
      <c r="M43" s="8"/>
    </row>
    <row r="44" spans="1:13" ht="14.25">
      <c r="A44" s="1" t="s">
        <v>38</v>
      </c>
      <c r="B44" s="7">
        <f t="shared" si="0"/>
        <v>33497.666666666664</v>
      </c>
      <c r="C44" s="7">
        <f t="shared" si="5"/>
        <v>33517</v>
      </c>
      <c r="D44" s="8"/>
      <c r="E44" s="8">
        <v>90.66666666666667</v>
      </c>
      <c r="F44" s="8">
        <v>80</v>
      </c>
      <c r="G44" s="8"/>
      <c r="H44" s="8">
        <v>12880.666666666666</v>
      </c>
      <c r="I44" s="8">
        <v>12464</v>
      </c>
      <c r="J44" s="8"/>
      <c r="K44" s="8">
        <v>20526.333333333332</v>
      </c>
      <c r="L44" s="8">
        <v>20973</v>
      </c>
      <c r="M44" s="8"/>
    </row>
    <row r="45" spans="1:13" ht="14.25">
      <c r="A45" s="1" t="s">
        <v>39</v>
      </c>
      <c r="B45" s="7">
        <f t="shared" si="0"/>
        <v>3676</v>
      </c>
      <c r="C45" s="7">
        <f t="shared" si="5"/>
        <v>3634</v>
      </c>
      <c r="D45" s="8"/>
      <c r="E45" s="8">
        <v>15</v>
      </c>
      <c r="F45" s="8">
        <v>23</v>
      </c>
      <c r="G45" s="8"/>
      <c r="H45" s="8">
        <v>1285.6666666666667</v>
      </c>
      <c r="I45" s="8">
        <v>1199</v>
      </c>
      <c r="J45" s="8"/>
      <c r="K45" s="8">
        <v>2375.3333333333335</v>
      </c>
      <c r="L45" s="8">
        <v>2412</v>
      </c>
      <c r="M45" s="8"/>
    </row>
    <row r="46" spans="1:13" ht="14.25">
      <c r="A46" s="1" t="s">
        <v>40</v>
      </c>
      <c r="B46" s="7">
        <f t="shared" si="0"/>
        <v>4484</v>
      </c>
      <c r="C46" s="7">
        <f t="shared" si="5"/>
        <v>4795</v>
      </c>
      <c r="D46" s="8"/>
      <c r="E46" s="8">
        <v>16.333333333333332</v>
      </c>
      <c r="F46" s="8">
        <v>20</v>
      </c>
      <c r="G46" s="8"/>
      <c r="H46" s="8">
        <v>1370.6666666666667</v>
      </c>
      <c r="I46" s="8">
        <v>1303</v>
      </c>
      <c r="J46" s="8"/>
      <c r="K46" s="8">
        <v>3097</v>
      </c>
      <c r="L46" s="8">
        <v>3472</v>
      </c>
      <c r="M46" s="8"/>
    </row>
    <row r="47" spans="1:13" ht="14.25">
      <c r="A47" s="1" t="s">
        <v>41</v>
      </c>
      <c r="B47" s="7">
        <f t="shared" si="0"/>
        <v>9936.666666666666</v>
      </c>
      <c r="C47" s="7">
        <f aca="true" t="shared" si="6" ref="C47:C52">F47+I47+L47</f>
        <v>9981</v>
      </c>
      <c r="D47" s="8"/>
      <c r="E47" s="8">
        <v>28.666666666666668</v>
      </c>
      <c r="F47" s="8">
        <v>29</v>
      </c>
      <c r="G47" s="8"/>
      <c r="H47" s="8">
        <v>3224.6666666666665</v>
      </c>
      <c r="I47" s="8">
        <v>3198</v>
      </c>
      <c r="J47" s="8"/>
      <c r="K47" s="8">
        <v>6683.333333333333</v>
      </c>
      <c r="L47" s="8">
        <v>6754</v>
      </c>
      <c r="M47" s="8"/>
    </row>
    <row r="48" spans="1:13" ht="14.25">
      <c r="A48" s="1" t="s">
        <v>42</v>
      </c>
      <c r="B48" s="7">
        <f t="shared" si="0"/>
        <v>2566.666666666667</v>
      </c>
      <c r="C48" s="7">
        <f t="shared" si="6"/>
        <v>2586</v>
      </c>
      <c r="D48" s="8"/>
      <c r="E48" s="8">
        <v>12.666666666666666</v>
      </c>
      <c r="F48" s="8">
        <v>11</v>
      </c>
      <c r="G48" s="8"/>
      <c r="H48" s="8">
        <v>704.3333333333334</v>
      </c>
      <c r="I48" s="8">
        <v>613</v>
      </c>
      <c r="J48" s="8"/>
      <c r="K48" s="8">
        <v>1849.6666666666667</v>
      </c>
      <c r="L48" s="8">
        <v>1962</v>
      </c>
      <c r="M48" s="8"/>
    </row>
    <row r="49" spans="1:13" ht="14.25">
      <c r="A49" s="1" t="s">
        <v>43</v>
      </c>
      <c r="B49" s="7">
        <f t="shared" si="0"/>
        <v>9644.333333333332</v>
      </c>
      <c r="C49" s="7">
        <f t="shared" si="6"/>
        <v>9796</v>
      </c>
      <c r="D49" s="8"/>
      <c r="E49" s="8">
        <v>34.333333333333336</v>
      </c>
      <c r="F49" s="8">
        <v>32</v>
      </c>
      <c r="G49" s="8"/>
      <c r="H49" s="8">
        <v>2860.6666666666665</v>
      </c>
      <c r="I49" s="8">
        <v>2876</v>
      </c>
      <c r="J49" s="8"/>
      <c r="K49" s="8">
        <v>6749.333333333333</v>
      </c>
      <c r="L49" s="8">
        <v>6888</v>
      </c>
      <c r="M49" s="8"/>
    </row>
    <row r="50" spans="1:13" ht="14.25">
      <c r="A50" s="1" t="s">
        <v>44</v>
      </c>
      <c r="B50" s="7">
        <f t="shared" si="0"/>
        <v>777</v>
      </c>
      <c r="C50" s="7">
        <f t="shared" si="6"/>
        <v>813</v>
      </c>
      <c r="D50" s="8"/>
      <c r="E50" s="8">
        <v>4</v>
      </c>
      <c r="F50" s="8">
        <v>7</v>
      </c>
      <c r="G50" s="8"/>
      <c r="H50" s="8">
        <v>194.66666666666666</v>
      </c>
      <c r="I50" s="8">
        <v>188</v>
      </c>
      <c r="J50" s="8"/>
      <c r="K50" s="8">
        <v>578.3333333333334</v>
      </c>
      <c r="L50" s="8">
        <v>618</v>
      </c>
      <c r="M50" s="8"/>
    </row>
    <row r="51" spans="1:13" ht="14.25">
      <c r="A51" s="1" t="s">
        <v>45</v>
      </c>
      <c r="B51" s="7">
        <f t="shared" si="0"/>
        <v>2007</v>
      </c>
      <c r="C51" s="7">
        <f t="shared" si="6"/>
        <v>2114</v>
      </c>
      <c r="D51" s="8"/>
      <c r="E51" s="8">
        <v>14.333333333333334</v>
      </c>
      <c r="F51" s="8">
        <v>17</v>
      </c>
      <c r="G51" s="8"/>
      <c r="H51" s="8">
        <v>629.6666666666666</v>
      </c>
      <c r="I51" s="8">
        <v>600</v>
      </c>
      <c r="J51" s="8"/>
      <c r="K51" s="8">
        <v>1363</v>
      </c>
      <c r="L51" s="8">
        <v>1497</v>
      </c>
      <c r="M51" s="8"/>
    </row>
    <row r="52" spans="1:13" ht="14.25">
      <c r="A52" s="1" t="s">
        <v>46</v>
      </c>
      <c r="B52" s="7">
        <f t="shared" si="0"/>
        <v>1429</v>
      </c>
      <c r="C52" s="7">
        <f t="shared" si="6"/>
        <v>1381</v>
      </c>
      <c r="D52" s="8"/>
      <c r="E52" s="8">
        <v>3.6666666666666665</v>
      </c>
      <c r="F52" s="8">
        <v>4</v>
      </c>
      <c r="G52" s="8"/>
      <c r="H52" s="8">
        <v>333.3333333333333</v>
      </c>
      <c r="I52" s="8">
        <v>315</v>
      </c>
      <c r="J52" s="8"/>
      <c r="K52" s="8">
        <v>1092</v>
      </c>
      <c r="L52" s="8">
        <v>1062</v>
      </c>
      <c r="M52" s="8"/>
    </row>
    <row r="53" spans="1:13" ht="14.25">
      <c r="A53" s="1" t="s">
        <v>47</v>
      </c>
      <c r="B53" s="7">
        <f t="shared" si="0"/>
        <v>2322</v>
      </c>
      <c r="C53" s="7">
        <f aca="true" t="shared" si="7" ref="C53:C58">F53+I53+L53</f>
        <v>2274</v>
      </c>
      <c r="D53" s="8"/>
      <c r="E53" s="8">
        <v>7.666666666666667</v>
      </c>
      <c r="F53" s="8">
        <v>5</v>
      </c>
      <c r="G53" s="8"/>
      <c r="H53" s="8">
        <v>668.6666666666666</v>
      </c>
      <c r="I53" s="8">
        <v>646</v>
      </c>
      <c r="J53" s="8"/>
      <c r="K53" s="8">
        <v>1645.6666666666667</v>
      </c>
      <c r="L53" s="8">
        <v>1623</v>
      </c>
      <c r="M53" s="8"/>
    </row>
    <row r="54" spans="1:13" ht="14.25">
      <c r="A54" s="1" t="s">
        <v>48</v>
      </c>
      <c r="B54" s="7">
        <f t="shared" si="0"/>
        <v>2731</v>
      </c>
      <c r="C54" s="7">
        <f t="shared" si="7"/>
        <v>2870</v>
      </c>
      <c r="D54" s="8"/>
      <c r="E54" s="8">
        <v>11</v>
      </c>
      <c r="F54" s="8">
        <v>10</v>
      </c>
      <c r="G54" s="8"/>
      <c r="H54" s="8">
        <v>872.6666666666666</v>
      </c>
      <c r="I54" s="8">
        <v>863</v>
      </c>
      <c r="J54" s="8"/>
      <c r="K54" s="8">
        <v>1847.3333333333333</v>
      </c>
      <c r="L54" s="8">
        <v>1997</v>
      </c>
      <c r="M54" s="8"/>
    </row>
    <row r="55" spans="1:13" ht="14.25">
      <c r="A55" s="1" t="s">
        <v>49</v>
      </c>
      <c r="B55" s="7">
        <f t="shared" si="0"/>
        <v>6352.666666666666</v>
      </c>
      <c r="C55" s="7">
        <f t="shared" si="7"/>
        <v>6107</v>
      </c>
      <c r="D55" s="8"/>
      <c r="E55" s="8">
        <v>16.666666666666668</v>
      </c>
      <c r="F55" s="8">
        <v>16</v>
      </c>
      <c r="G55" s="8"/>
      <c r="H55" s="8">
        <v>2243.6666666666665</v>
      </c>
      <c r="I55" s="8">
        <v>2073</v>
      </c>
      <c r="J55" s="8"/>
      <c r="K55" s="8">
        <v>4092.3333333333335</v>
      </c>
      <c r="L55" s="8">
        <v>4018</v>
      </c>
      <c r="M55" s="8"/>
    </row>
    <row r="56" spans="1:13" ht="14.25">
      <c r="A56" s="1" t="s">
        <v>50</v>
      </c>
      <c r="B56" s="7">
        <f t="shared" si="0"/>
        <v>2325</v>
      </c>
      <c r="C56" s="7">
        <f t="shared" si="7"/>
        <v>2398</v>
      </c>
      <c r="D56" s="8"/>
      <c r="E56" s="8">
        <v>9</v>
      </c>
      <c r="F56" s="8">
        <v>11</v>
      </c>
      <c r="G56" s="8"/>
      <c r="H56" s="8">
        <v>516.6666666666666</v>
      </c>
      <c r="I56" s="8">
        <v>504</v>
      </c>
      <c r="J56" s="8"/>
      <c r="K56" s="8">
        <v>1799.3333333333333</v>
      </c>
      <c r="L56" s="8">
        <v>1883</v>
      </c>
      <c r="M56" s="8"/>
    </row>
    <row r="57" spans="1:13" ht="14.25">
      <c r="A57" s="1" t="s">
        <v>51</v>
      </c>
      <c r="B57" s="7">
        <f t="shared" si="0"/>
        <v>4546</v>
      </c>
      <c r="C57" s="7">
        <f t="shared" si="7"/>
        <v>4652</v>
      </c>
      <c r="D57" s="8"/>
      <c r="E57" s="8">
        <v>18.666666666666668</v>
      </c>
      <c r="F57" s="8">
        <v>18</v>
      </c>
      <c r="G57" s="8"/>
      <c r="H57" s="8">
        <v>1201</v>
      </c>
      <c r="I57" s="8">
        <v>1173</v>
      </c>
      <c r="J57" s="8"/>
      <c r="K57" s="8">
        <v>3326.3333333333335</v>
      </c>
      <c r="L57" s="8">
        <v>3461</v>
      </c>
      <c r="M57" s="8"/>
    </row>
    <row r="58" spans="1:13" ht="14.25">
      <c r="A58" s="1" t="s">
        <v>52</v>
      </c>
      <c r="B58" s="7">
        <f t="shared" si="0"/>
        <v>3206</v>
      </c>
      <c r="C58" s="7">
        <f t="shared" si="7"/>
        <v>3044</v>
      </c>
      <c r="D58" s="8"/>
      <c r="E58" s="8">
        <v>7.333333333333333</v>
      </c>
      <c r="F58" s="8">
        <v>4</v>
      </c>
      <c r="G58" s="8"/>
      <c r="H58" s="8">
        <v>992.6666666666666</v>
      </c>
      <c r="I58" s="8">
        <v>905</v>
      </c>
      <c r="J58" s="8"/>
      <c r="K58" s="8">
        <v>2206</v>
      </c>
      <c r="L58" s="8">
        <v>2135</v>
      </c>
      <c r="M58" s="8"/>
    </row>
    <row r="59" spans="1:13" ht="14.25">
      <c r="A59" s="1" t="s">
        <v>53</v>
      </c>
      <c r="B59" s="7">
        <f t="shared" si="0"/>
        <v>675.3333333333333</v>
      </c>
      <c r="C59" s="7">
        <f aca="true" t="shared" si="8" ref="C59:C64">F59+I59+L59</f>
        <v>674</v>
      </c>
      <c r="D59" s="8"/>
      <c r="E59" s="8">
        <v>2</v>
      </c>
      <c r="F59" s="7">
        <v>2</v>
      </c>
      <c r="G59" s="8"/>
      <c r="H59" s="8">
        <v>180</v>
      </c>
      <c r="I59" s="8">
        <v>174</v>
      </c>
      <c r="J59" s="8"/>
      <c r="K59" s="8">
        <v>493.3333333333333</v>
      </c>
      <c r="L59" s="8">
        <v>498</v>
      </c>
      <c r="M59" s="8"/>
    </row>
    <row r="60" spans="1:13" ht="14.25">
      <c r="A60" s="1" t="s">
        <v>54</v>
      </c>
      <c r="B60" s="7">
        <f t="shared" si="0"/>
        <v>490.66666666666663</v>
      </c>
      <c r="C60" s="7">
        <f t="shared" si="8"/>
        <v>489</v>
      </c>
      <c r="D60" s="8"/>
      <c r="E60" s="8">
        <v>1.3333333333333333</v>
      </c>
      <c r="F60" s="8">
        <v>3</v>
      </c>
      <c r="G60" s="8"/>
      <c r="H60" s="8">
        <v>105</v>
      </c>
      <c r="I60" s="8">
        <v>104</v>
      </c>
      <c r="J60" s="8"/>
      <c r="K60" s="8">
        <v>384.3333333333333</v>
      </c>
      <c r="L60" s="8">
        <v>382</v>
      </c>
      <c r="M60" s="8"/>
    </row>
    <row r="61" spans="1:13" ht="14.25">
      <c r="A61" s="1" t="s">
        <v>55</v>
      </c>
      <c r="B61" s="7">
        <f t="shared" si="0"/>
        <v>815.3333333333334</v>
      </c>
      <c r="C61" s="7">
        <f t="shared" si="8"/>
        <v>741</v>
      </c>
      <c r="D61" s="8"/>
      <c r="E61" s="8">
        <v>6.333333333333333</v>
      </c>
      <c r="F61" s="8">
        <v>4</v>
      </c>
      <c r="G61" s="8"/>
      <c r="H61" s="8">
        <v>235.66666666666666</v>
      </c>
      <c r="I61" s="8">
        <v>181</v>
      </c>
      <c r="J61" s="8"/>
      <c r="K61" s="8">
        <v>573.3333333333334</v>
      </c>
      <c r="L61" s="8">
        <v>556</v>
      </c>
      <c r="M61" s="8"/>
    </row>
    <row r="62" spans="1:13" ht="14.25">
      <c r="A62" s="1" t="s">
        <v>56</v>
      </c>
      <c r="B62" s="7">
        <f t="shared" si="0"/>
        <v>1981.6666666666667</v>
      </c>
      <c r="C62" s="7">
        <f t="shared" si="8"/>
        <v>2195</v>
      </c>
      <c r="D62" s="8"/>
      <c r="E62" s="8">
        <v>8.666666666666666</v>
      </c>
      <c r="F62" s="8">
        <v>11</v>
      </c>
      <c r="G62" s="8"/>
      <c r="H62" s="8">
        <v>493.3333333333333</v>
      </c>
      <c r="I62" s="8">
        <v>525</v>
      </c>
      <c r="J62" s="8"/>
      <c r="K62" s="8">
        <v>1479.6666666666667</v>
      </c>
      <c r="L62" s="8">
        <v>1659</v>
      </c>
      <c r="M62" s="8"/>
    </row>
    <row r="63" spans="1:13" ht="14.25">
      <c r="A63" s="1" t="s">
        <v>57</v>
      </c>
      <c r="B63" s="7">
        <f t="shared" si="0"/>
        <v>29009.666666666664</v>
      </c>
      <c r="C63" s="7">
        <f t="shared" si="8"/>
        <v>30404</v>
      </c>
      <c r="D63" s="8"/>
      <c r="E63" s="8">
        <v>135.33333333333334</v>
      </c>
      <c r="F63" s="8">
        <v>140</v>
      </c>
      <c r="G63" s="8"/>
      <c r="H63" s="8">
        <v>11993</v>
      </c>
      <c r="I63" s="8">
        <v>12166</v>
      </c>
      <c r="J63" s="8"/>
      <c r="K63" s="8">
        <v>16881.333333333332</v>
      </c>
      <c r="L63" s="8">
        <v>18098</v>
      </c>
      <c r="M63" s="8"/>
    </row>
    <row r="64" spans="1:13" ht="14.25">
      <c r="A64" s="1" t="s">
        <v>58</v>
      </c>
      <c r="B64" s="7">
        <f t="shared" si="0"/>
        <v>1770.6666666666667</v>
      </c>
      <c r="C64" s="7">
        <f t="shared" si="8"/>
        <v>1836</v>
      </c>
      <c r="D64" s="8"/>
      <c r="E64" s="8">
        <v>10.333333333333334</v>
      </c>
      <c r="F64" s="8">
        <v>11</v>
      </c>
      <c r="G64" s="8"/>
      <c r="H64" s="8">
        <v>524.3333333333334</v>
      </c>
      <c r="I64" s="8">
        <v>551</v>
      </c>
      <c r="J64" s="8"/>
      <c r="K64" s="8">
        <v>1236</v>
      </c>
      <c r="L64" s="8">
        <v>1274</v>
      </c>
      <c r="M64" s="8"/>
    </row>
    <row r="65" spans="1:13" ht="14.25">
      <c r="A65" s="1" t="s">
        <v>59</v>
      </c>
      <c r="B65" s="7">
        <f aca="true" t="shared" si="9" ref="B65:C73">E65+H65+K65</f>
        <v>825</v>
      </c>
      <c r="C65" s="7">
        <f aca="true" t="shared" si="10" ref="C65:C70">F65+I65+L65</f>
        <v>799</v>
      </c>
      <c r="D65" s="8"/>
      <c r="E65" s="8">
        <v>7</v>
      </c>
      <c r="F65" s="8">
        <v>1</v>
      </c>
      <c r="G65" s="8"/>
      <c r="H65" s="8">
        <v>219</v>
      </c>
      <c r="I65" s="8">
        <v>202</v>
      </c>
      <c r="J65" s="8"/>
      <c r="K65" s="8">
        <v>599</v>
      </c>
      <c r="L65" s="8">
        <v>596</v>
      </c>
      <c r="M65" s="8"/>
    </row>
    <row r="66" spans="1:13" ht="14.25">
      <c r="A66" s="1" t="s">
        <v>60</v>
      </c>
      <c r="B66" s="7">
        <f t="shared" si="9"/>
        <v>2362.6666666666665</v>
      </c>
      <c r="C66" s="7">
        <f t="shared" si="10"/>
        <v>2345</v>
      </c>
      <c r="D66" s="8"/>
      <c r="E66" s="8">
        <v>9</v>
      </c>
      <c r="F66" s="8">
        <v>7</v>
      </c>
      <c r="G66" s="8"/>
      <c r="H66" s="8">
        <v>519.6666666666666</v>
      </c>
      <c r="I66" s="8">
        <v>501</v>
      </c>
      <c r="J66" s="8"/>
      <c r="K66" s="8">
        <v>1834</v>
      </c>
      <c r="L66" s="8">
        <v>1837</v>
      </c>
      <c r="M66" s="8"/>
    </row>
    <row r="67" spans="1:13" ht="14.25">
      <c r="A67" s="1" t="s">
        <v>61</v>
      </c>
      <c r="B67" s="7">
        <f t="shared" si="9"/>
        <v>4496.666666666667</v>
      </c>
      <c r="C67" s="7">
        <f t="shared" si="10"/>
        <v>4450</v>
      </c>
      <c r="D67" s="8"/>
      <c r="E67" s="8">
        <v>15</v>
      </c>
      <c r="F67" s="8">
        <v>20</v>
      </c>
      <c r="G67" s="8"/>
      <c r="H67" s="8">
        <v>1367.3333333333333</v>
      </c>
      <c r="I67" s="8">
        <v>1301</v>
      </c>
      <c r="J67" s="8"/>
      <c r="K67" s="8">
        <v>3114.3333333333335</v>
      </c>
      <c r="L67" s="8">
        <v>3129</v>
      </c>
      <c r="M67" s="8"/>
    </row>
    <row r="68" spans="1:13" ht="14.25">
      <c r="A68" s="1" t="s">
        <v>62</v>
      </c>
      <c r="B68" s="7">
        <f t="shared" si="9"/>
        <v>1732.3333333333333</v>
      </c>
      <c r="C68" s="7">
        <f t="shared" si="10"/>
        <v>1797</v>
      </c>
      <c r="D68" s="8"/>
      <c r="E68" s="8">
        <v>5</v>
      </c>
      <c r="F68" s="8">
        <v>5</v>
      </c>
      <c r="G68" s="8"/>
      <c r="H68" s="8">
        <v>505.3333333333333</v>
      </c>
      <c r="I68" s="8">
        <v>490</v>
      </c>
      <c r="J68" s="8"/>
      <c r="K68" s="8">
        <v>1222</v>
      </c>
      <c r="L68" s="8">
        <v>1302</v>
      </c>
      <c r="M68" s="8"/>
    </row>
    <row r="69" spans="1:13" ht="14.25">
      <c r="A69" s="1" t="s">
        <v>63</v>
      </c>
      <c r="B69" s="7">
        <f t="shared" si="9"/>
        <v>1067.3333333333333</v>
      </c>
      <c r="C69" s="7">
        <f t="shared" si="10"/>
        <v>1087</v>
      </c>
      <c r="D69" s="8"/>
      <c r="E69" s="8">
        <v>8.666666666666666</v>
      </c>
      <c r="F69" s="8">
        <v>8</v>
      </c>
      <c r="G69" s="8"/>
      <c r="H69" s="8">
        <v>354</v>
      </c>
      <c r="I69" s="8">
        <v>319</v>
      </c>
      <c r="J69" s="8"/>
      <c r="K69" s="8">
        <v>704.6666666666666</v>
      </c>
      <c r="L69" s="8">
        <v>760</v>
      </c>
      <c r="M69" s="8"/>
    </row>
    <row r="70" spans="1:13" ht="14.25">
      <c r="A70" s="1" t="s">
        <v>64</v>
      </c>
      <c r="B70" s="7">
        <f t="shared" si="9"/>
        <v>1635.6666666666665</v>
      </c>
      <c r="C70" s="7">
        <f t="shared" si="10"/>
        <v>1543</v>
      </c>
      <c r="D70" s="8"/>
      <c r="E70" s="8">
        <v>9.333333333333334</v>
      </c>
      <c r="F70" s="8">
        <v>9</v>
      </c>
      <c r="G70" s="8"/>
      <c r="H70" s="8">
        <v>448.3333333333333</v>
      </c>
      <c r="I70" s="1">
        <v>455</v>
      </c>
      <c r="J70" s="8"/>
      <c r="K70" s="8">
        <v>1178</v>
      </c>
      <c r="L70" s="8">
        <v>1079</v>
      </c>
      <c r="M70" s="8"/>
    </row>
    <row r="71" spans="1:13" ht="14.25">
      <c r="A71" s="1" t="s">
        <v>65</v>
      </c>
      <c r="B71" s="7">
        <f t="shared" si="9"/>
        <v>14848.333333333332</v>
      </c>
      <c r="C71" s="7">
        <f t="shared" si="9"/>
        <v>14373</v>
      </c>
      <c r="D71" s="8"/>
      <c r="E71" s="8">
        <v>33</v>
      </c>
      <c r="F71" s="8">
        <v>47</v>
      </c>
      <c r="G71" s="8"/>
      <c r="H71" s="8">
        <v>5650.666666666667</v>
      </c>
      <c r="I71" s="8">
        <v>5518</v>
      </c>
      <c r="J71" s="8"/>
      <c r="K71" s="8">
        <v>9164.666666666666</v>
      </c>
      <c r="L71" s="8">
        <v>8808</v>
      </c>
      <c r="M71" s="13"/>
    </row>
    <row r="72" spans="1:13" ht="14.25">
      <c r="A72" s="1" t="s">
        <v>66</v>
      </c>
      <c r="B72" s="7">
        <f t="shared" si="9"/>
        <v>1103.3333333333333</v>
      </c>
      <c r="C72" s="7">
        <f t="shared" si="9"/>
        <v>1212</v>
      </c>
      <c r="D72" s="8"/>
      <c r="E72" s="8">
        <v>4.333333333333333</v>
      </c>
      <c r="F72" s="8">
        <v>2</v>
      </c>
      <c r="G72" s="8"/>
      <c r="H72" s="8">
        <v>224</v>
      </c>
      <c r="I72" s="8">
        <v>238</v>
      </c>
      <c r="J72" s="8"/>
      <c r="K72" s="8">
        <v>875</v>
      </c>
      <c r="L72" s="8">
        <v>972</v>
      </c>
      <c r="M72" s="8"/>
    </row>
    <row r="73" spans="1:13" ht="14.25">
      <c r="A73" s="1" t="s">
        <v>67</v>
      </c>
      <c r="B73" s="7">
        <f t="shared" si="9"/>
        <v>499.6666666666667</v>
      </c>
      <c r="C73" s="7">
        <f t="shared" si="9"/>
        <v>557</v>
      </c>
      <c r="D73" s="8"/>
      <c r="E73" s="8">
        <v>3.3333333333333335</v>
      </c>
      <c r="F73" s="7">
        <v>2</v>
      </c>
      <c r="G73" s="8"/>
      <c r="H73" s="8">
        <v>113.66666666666667</v>
      </c>
      <c r="I73" s="8">
        <v>114</v>
      </c>
      <c r="J73" s="8"/>
      <c r="K73" s="8">
        <v>382.6666666666667</v>
      </c>
      <c r="L73" s="8">
        <v>441</v>
      </c>
      <c r="M73" s="8"/>
    </row>
    <row r="74" spans="2:13" ht="14.25">
      <c r="B74" s="8"/>
      <c r="C74" s="7"/>
      <c r="D74" s="8"/>
      <c r="E74" s="8"/>
      <c r="F74" s="7"/>
      <c r="G74" s="8"/>
      <c r="H74" s="8"/>
      <c r="I74" s="8"/>
      <c r="J74" s="8"/>
      <c r="K74" s="8"/>
      <c r="L74" s="8"/>
      <c r="M74" s="8"/>
    </row>
    <row r="75" spans="1:13" ht="14.25">
      <c r="A75" s="1" t="s">
        <v>71</v>
      </c>
      <c r="B75" s="7">
        <f>+H75+K75</f>
        <v>1013.3333333333334</v>
      </c>
      <c r="C75" s="7">
        <f>+I75+L75</f>
        <v>1459</v>
      </c>
      <c r="D75" s="8"/>
      <c r="E75" s="7">
        <v>0</v>
      </c>
      <c r="F75" s="7">
        <v>0</v>
      </c>
      <c r="G75" s="8"/>
      <c r="H75" s="8">
        <v>230</v>
      </c>
      <c r="I75" s="8">
        <v>381</v>
      </c>
      <c r="J75" s="8"/>
      <c r="K75" s="8">
        <v>783.3333333333334</v>
      </c>
      <c r="L75" s="8">
        <v>1078</v>
      </c>
      <c r="M75" s="8"/>
    </row>
    <row r="76" spans="1:13" ht="14.25">
      <c r="A76" s="3"/>
      <c r="B76" s="14"/>
      <c r="C76" s="15" t="s">
        <v>72</v>
      </c>
      <c r="D76" s="14"/>
      <c r="E76" s="14"/>
      <c r="F76" s="14"/>
      <c r="G76" s="14"/>
      <c r="H76" s="14"/>
      <c r="I76" s="14"/>
      <c r="J76" s="14"/>
      <c r="K76" s="14"/>
      <c r="L76" s="14"/>
      <c r="M76" s="8"/>
    </row>
    <row r="77" spans="1:13" ht="45" customHeight="1">
      <c r="A77" s="28" t="s">
        <v>76</v>
      </c>
      <c r="B77" s="28"/>
      <c r="C77" s="28"/>
      <c r="D77" s="28"/>
      <c r="E77" s="28"/>
      <c r="F77" s="28"/>
      <c r="G77" s="28"/>
      <c r="H77" s="28"/>
      <c r="I77" s="28"/>
      <c r="J77" s="28"/>
      <c r="K77" s="28"/>
      <c r="L77" s="28"/>
      <c r="M77" s="8"/>
    </row>
    <row r="78" spans="2:13" ht="14.25">
      <c r="B78" s="8"/>
      <c r="C78" s="7"/>
      <c r="D78" s="8"/>
      <c r="E78" s="8"/>
      <c r="F78" s="8"/>
      <c r="G78" s="8"/>
      <c r="H78" s="8"/>
      <c r="I78" s="8"/>
      <c r="J78" s="8"/>
      <c r="K78" s="8"/>
      <c r="L78" s="8"/>
      <c r="M78" s="8"/>
    </row>
    <row r="79" spans="1:13" ht="30" customHeight="1">
      <c r="A79" s="28" t="s">
        <v>77</v>
      </c>
      <c r="B79" s="28"/>
      <c r="C79" s="28"/>
      <c r="D79" s="28"/>
      <c r="E79" s="28"/>
      <c r="F79" s="28"/>
      <c r="G79" s="28"/>
      <c r="H79" s="28"/>
      <c r="I79" s="28"/>
      <c r="J79" s="28"/>
      <c r="K79" s="28"/>
      <c r="L79" s="28"/>
      <c r="M79" s="8"/>
    </row>
    <row r="80" spans="1:12" ht="52.5" customHeight="1">
      <c r="A80" s="29" t="s">
        <v>78</v>
      </c>
      <c r="B80" s="29"/>
      <c r="C80" s="29"/>
      <c r="D80" s="29"/>
      <c r="E80" s="29"/>
      <c r="F80" s="29"/>
      <c r="G80" s="29"/>
      <c r="H80" s="29"/>
      <c r="I80" s="29"/>
      <c r="J80" s="29"/>
      <c r="K80" s="29"/>
      <c r="L80" s="29"/>
    </row>
    <row r="81" spans="1:12" ht="50.25" customHeight="1">
      <c r="A81" s="28" t="s">
        <v>79</v>
      </c>
      <c r="B81" s="28"/>
      <c r="C81" s="28"/>
      <c r="D81" s="28"/>
      <c r="E81" s="28"/>
      <c r="F81" s="28"/>
      <c r="G81" s="28"/>
      <c r="H81" s="28"/>
      <c r="I81" s="28"/>
      <c r="J81" s="28"/>
      <c r="K81" s="28"/>
      <c r="L81" s="28"/>
    </row>
    <row r="82" spans="2:3" ht="14.25">
      <c r="B82" s="16"/>
      <c r="C82" s="1"/>
    </row>
    <row r="83" ht="14.25">
      <c r="A83" s="1" t="s">
        <v>68</v>
      </c>
    </row>
    <row r="84" spans="2:9" ht="14.25">
      <c r="B84" s="9"/>
      <c r="C84" s="10"/>
      <c r="D84" s="11"/>
      <c r="E84" s="11"/>
      <c r="F84" s="11"/>
      <c r="G84" s="11"/>
      <c r="H84" s="11"/>
      <c r="I84" s="11"/>
    </row>
    <row r="85" spans="2:9" ht="14.25">
      <c r="B85" s="9"/>
      <c r="C85" s="10"/>
      <c r="D85" s="11"/>
      <c r="E85" s="11"/>
      <c r="F85" s="11"/>
      <c r="G85" s="11"/>
      <c r="H85" s="11"/>
      <c r="I85" s="11"/>
    </row>
    <row r="86" spans="2:9" ht="14.25">
      <c r="B86" s="9"/>
      <c r="C86" s="10"/>
      <c r="D86" s="11"/>
      <c r="E86" s="11"/>
      <c r="F86" s="11"/>
      <c r="G86" s="11"/>
      <c r="H86" s="11"/>
      <c r="I86" s="11"/>
    </row>
    <row r="87" spans="2:9" ht="14.25">
      <c r="B87" s="9"/>
      <c r="C87" s="10"/>
      <c r="D87" s="11"/>
      <c r="E87" s="11"/>
      <c r="F87" s="11"/>
      <c r="G87" s="11"/>
      <c r="H87" s="11"/>
      <c r="I87" s="11"/>
    </row>
    <row r="88" ht="14.25">
      <c r="C88" s="1"/>
    </row>
    <row r="89" ht="14.25">
      <c r="C89" s="1"/>
    </row>
    <row r="90" ht="14.25">
      <c r="C90" s="1"/>
    </row>
    <row r="91" ht="14.25">
      <c r="C91" s="1"/>
    </row>
    <row r="92" ht="14.25">
      <c r="C92" s="1"/>
    </row>
    <row r="93" ht="14.25">
      <c r="C93" s="1"/>
    </row>
  </sheetData>
  <sheetProtection/>
  <mergeCells count="8">
    <mergeCell ref="A79:L79"/>
    <mergeCell ref="A80:L80"/>
    <mergeCell ref="A81:L81"/>
    <mergeCell ref="B4:C4"/>
    <mergeCell ref="E4:F4"/>
    <mergeCell ref="H4:I4"/>
    <mergeCell ref="K4:L4"/>
    <mergeCell ref="A77:L77"/>
  </mergeCells>
  <printOptions/>
  <pageMargins left="0.75" right="0.75" top="1" bottom="1" header="0.5" footer="0.5"/>
  <pageSetup fitToHeight="2" fitToWidth="1" horizontalDpi="600" verticalDpi="600" orientation="landscape" scale="77" r:id="rId1"/>
</worksheet>
</file>

<file path=xl/worksheets/sheet10.xml><?xml version="1.0" encoding="utf-8"?>
<worksheet xmlns="http://schemas.openxmlformats.org/spreadsheetml/2006/main" xmlns:r="http://schemas.openxmlformats.org/officeDocument/2006/relationships">
  <dimension ref="A1:L93"/>
  <sheetViews>
    <sheetView zoomScalePageLayoutView="0" workbookViewId="0" topLeftCell="A64">
      <selection activeCell="A77" sqref="A77:L79"/>
    </sheetView>
  </sheetViews>
  <sheetFormatPr defaultColWidth="8.88671875" defaultRowHeight="15.75"/>
  <cols>
    <col min="1" max="1" width="25.77734375" style="0" customWidth="1"/>
    <col min="2" max="3" width="10.77734375" style="0" customWidth="1"/>
    <col min="4" max="4" width="2.77734375" style="0" customWidth="1"/>
    <col min="5" max="6" width="10.77734375" style="0" customWidth="1"/>
    <col min="7" max="7" width="2.77734375" style="0" customWidth="1"/>
    <col min="8" max="9" width="10.77734375" style="0" customWidth="1"/>
    <col min="10" max="10" width="2.77734375" style="0" customWidth="1"/>
    <col min="11" max="16384" width="10.77734375" style="0" customWidth="1"/>
  </cols>
  <sheetData>
    <row r="1" spans="1:12" ht="20.25">
      <c r="A1" s="12" t="s">
        <v>0</v>
      </c>
      <c r="B1" s="1"/>
      <c r="C1" s="2"/>
      <c r="D1" s="1"/>
      <c r="E1" s="1"/>
      <c r="F1" s="1"/>
      <c r="G1" s="1"/>
      <c r="H1" s="1"/>
      <c r="I1" s="1"/>
      <c r="J1" s="1"/>
      <c r="K1" s="1"/>
      <c r="L1" s="1"/>
    </row>
    <row r="2" spans="1:12" ht="20.25">
      <c r="A2" s="12" t="s">
        <v>101</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103</v>
      </c>
      <c r="C4" s="30"/>
      <c r="D4" s="3"/>
      <c r="E4" s="30" t="s">
        <v>69</v>
      </c>
      <c r="F4" s="30"/>
      <c r="G4" s="3"/>
      <c r="H4" s="30" t="s">
        <v>70</v>
      </c>
      <c r="I4" s="30"/>
      <c r="J4" s="3"/>
      <c r="K4" s="30" t="s">
        <v>104</v>
      </c>
      <c r="L4" s="30"/>
    </row>
    <row r="5" spans="1:12" ht="29.25">
      <c r="A5" s="4" t="s">
        <v>1</v>
      </c>
      <c r="B5" s="17" t="s">
        <v>102</v>
      </c>
      <c r="C5" s="5">
        <v>2001</v>
      </c>
      <c r="D5" s="4"/>
      <c r="E5" s="17" t="s">
        <v>102</v>
      </c>
      <c r="F5" s="5">
        <v>2001</v>
      </c>
      <c r="G5" s="4"/>
      <c r="H5" s="17" t="s">
        <v>102</v>
      </c>
      <c r="I5" s="5">
        <v>2001</v>
      </c>
      <c r="J5" s="4"/>
      <c r="K5" s="17" t="s">
        <v>102</v>
      </c>
      <c r="L5" s="5">
        <v>2001</v>
      </c>
    </row>
    <row r="6" spans="1:12" ht="15.75">
      <c r="A6" s="1"/>
      <c r="B6" s="1"/>
      <c r="C6" s="2"/>
      <c r="D6" s="1"/>
      <c r="E6" s="1"/>
      <c r="F6" s="1"/>
      <c r="G6" s="1"/>
      <c r="H6" s="6"/>
      <c r="I6" s="1"/>
      <c r="J6" s="1"/>
      <c r="K6" s="1"/>
      <c r="L6" s="1"/>
    </row>
    <row r="7" spans="1:12" ht="15.75">
      <c r="A7" s="1" t="s">
        <v>2</v>
      </c>
      <c r="B7" s="8">
        <f>+B9+B16</f>
        <v>353357.33333333326</v>
      </c>
      <c r="C7" s="8">
        <f>+C9+C16</f>
        <v>331363</v>
      </c>
      <c r="D7" s="8" t="s">
        <v>3</v>
      </c>
      <c r="E7" s="8">
        <f>+E9+E16</f>
        <v>1865.3333333333333</v>
      </c>
      <c r="F7" s="8">
        <f>+F9+F16</f>
        <v>1431</v>
      </c>
      <c r="G7" s="8"/>
      <c r="H7" s="8">
        <f>+H9+H16</f>
        <v>184801.6666666667</v>
      </c>
      <c r="I7" s="8">
        <f>+I9+I16+I75</f>
        <v>178772</v>
      </c>
      <c r="J7" s="8"/>
      <c r="K7" s="8">
        <f>+K9+K16</f>
        <v>163793.99999999997</v>
      </c>
      <c r="L7" s="8">
        <f>+L9+L16+L75</f>
        <v>151776</v>
      </c>
    </row>
    <row r="8" spans="1:12" ht="15.75">
      <c r="A8" s="1"/>
      <c r="B8" s="8"/>
      <c r="C8" s="8"/>
      <c r="D8" s="8"/>
      <c r="E8" s="8"/>
      <c r="F8" s="8"/>
      <c r="G8" s="8" t="s">
        <v>3</v>
      </c>
      <c r="H8" s="8"/>
      <c r="I8" s="8"/>
      <c r="J8" s="8" t="s">
        <v>3</v>
      </c>
      <c r="K8" s="8"/>
      <c r="L8" s="8"/>
    </row>
    <row r="9" spans="1:12" ht="15.75">
      <c r="A9" s="1" t="s">
        <v>4</v>
      </c>
      <c r="B9" s="8">
        <f>SUM(B10:B14)</f>
        <v>112612.33333333334</v>
      </c>
      <c r="C9" s="8">
        <f>SUM(C10:C14)</f>
        <v>112637</v>
      </c>
      <c r="D9" s="8" t="s">
        <v>3</v>
      </c>
      <c r="E9" s="8">
        <f>SUM(E10:E14)</f>
        <v>358.99999999999994</v>
      </c>
      <c r="F9" s="8">
        <f>SUM(F10:F14)</f>
        <v>352</v>
      </c>
      <c r="G9" s="8"/>
      <c r="H9" s="8">
        <f>SUM(H10:H14)</f>
        <v>81501.33333333333</v>
      </c>
      <c r="I9" s="8">
        <f>SUM(I10:I14)</f>
        <v>79166</v>
      </c>
      <c r="J9" s="8"/>
      <c r="K9" s="8">
        <f>SUM(K10:K14)</f>
        <v>28426.666666666668</v>
      </c>
      <c r="L9" s="8">
        <f>SUM(L10:L14)</f>
        <v>33119</v>
      </c>
    </row>
    <row r="10" spans="1:12" ht="15.75">
      <c r="A10" s="1" t="s">
        <v>5</v>
      </c>
      <c r="B10" s="8">
        <f>(13272+17950+19953)/3</f>
        <v>17058.333333333332</v>
      </c>
      <c r="C10" s="8">
        <v>17864</v>
      </c>
      <c r="D10" s="8"/>
      <c r="E10" s="8">
        <f>(49+59+49)/3</f>
        <v>52.333333333333336</v>
      </c>
      <c r="F10" s="8">
        <v>55</v>
      </c>
      <c r="G10" s="8"/>
      <c r="H10" s="8">
        <f>(11071+11960+13194)/3</f>
        <v>12075</v>
      </c>
      <c r="I10" s="8">
        <v>12447</v>
      </c>
      <c r="J10" s="8"/>
      <c r="K10" s="8">
        <f>(2152+5931+6710)/3</f>
        <v>4931</v>
      </c>
      <c r="L10" s="8">
        <v>5362</v>
      </c>
    </row>
    <row r="11" spans="1:12" ht="15.75">
      <c r="A11" s="1" t="s">
        <v>6</v>
      </c>
      <c r="B11" s="8">
        <f>(30082+35782+38151)/3</f>
        <v>34671.666666666664</v>
      </c>
      <c r="C11" s="8">
        <v>33370</v>
      </c>
      <c r="D11" s="8"/>
      <c r="E11" s="8">
        <f>(115+114+105)/3</f>
        <v>111.33333333333333</v>
      </c>
      <c r="F11" s="8">
        <v>111</v>
      </c>
      <c r="G11" s="8"/>
      <c r="H11" s="8">
        <f>(26721+26511+27190)/3</f>
        <v>26807.333333333332</v>
      </c>
      <c r="I11" s="8">
        <v>25229</v>
      </c>
      <c r="J11" s="8"/>
      <c r="K11" s="8">
        <f>(3246+9157+10856)/3</f>
        <v>7753</v>
      </c>
      <c r="L11" s="8">
        <v>8030</v>
      </c>
    </row>
    <row r="12" spans="1:12" ht="15.75">
      <c r="A12" s="1" t="s">
        <v>7</v>
      </c>
      <c r="B12" s="8">
        <f>(18176+22956+24609)/3</f>
        <v>21913.666666666668</v>
      </c>
      <c r="C12" s="8">
        <v>21646</v>
      </c>
      <c r="D12" s="8"/>
      <c r="E12" s="8">
        <f>(59+66+70)/3</f>
        <v>65</v>
      </c>
      <c r="F12" s="8">
        <v>55</v>
      </c>
      <c r="G12" s="8"/>
      <c r="H12" s="8">
        <f>(15243+14679+14624)/3</f>
        <v>14848.666666666666</v>
      </c>
      <c r="I12" s="8">
        <v>14058</v>
      </c>
      <c r="J12" s="8"/>
      <c r="K12" s="8">
        <v>4674.666666666667</v>
      </c>
      <c r="L12" s="8">
        <v>7533</v>
      </c>
    </row>
    <row r="13" spans="1:12" ht="15.75">
      <c r="A13" s="1" t="s">
        <v>8</v>
      </c>
      <c r="B13" s="8">
        <f>(28274+34697+36578)/3</f>
        <v>33183</v>
      </c>
      <c r="C13" s="8">
        <v>33574</v>
      </c>
      <c r="D13" s="8"/>
      <c r="E13" s="8">
        <f>(112+118+100)/3</f>
        <v>110</v>
      </c>
      <c r="F13" s="8">
        <v>104</v>
      </c>
      <c r="G13" s="8"/>
      <c r="H13" s="8">
        <f>(23160+23875+24459)/3</f>
        <v>23831.333333333332</v>
      </c>
      <c r="I13" s="8">
        <v>23456</v>
      </c>
      <c r="J13" s="8"/>
      <c r="K13" s="8">
        <f>(5002+10704+12019)/3</f>
        <v>9241.666666666666</v>
      </c>
      <c r="L13" s="8">
        <v>10014</v>
      </c>
    </row>
    <row r="14" spans="1:12" ht="15.75">
      <c r="A14" s="1" t="s">
        <v>9</v>
      </c>
      <c r="B14" s="8">
        <f>(5318+5781+6258)/3</f>
        <v>5785.666666666667</v>
      </c>
      <c r="C14" s="8">
        <v>6183</v>
      </c>
      <c r="D14" s="8"/>
      <c r="E14" s="8">
        <f>(22+15+24)/3</f>
        <v>20.333333333333332</v>
      </c>
      <c r="F14" s="8">
        <v>27</v>
      </c>
      <c r="G14" s="8"/>
      <c r="H14" s="8">
        <f>(4204+3808+3805)/3</f>
        <v>3939</v>
      </c>
      <c r="I14" s="8">
        <v>3976</v>
      </c>
      <c r="J14" s="8"/>
      <c r="K14" s="8">
        <f>(1092+1958+2429)/3</f>
        <v>1826.3333333333333</v>
      </c>
      <c r="L14" s="8">
        <v>2180</v>
      </c>
    </row>
    <row r="15" spans="1:12" ht="15.75">
      <c r="A15" s="1"/>
      <c r="B15" s="8"/>
      <c r="C15" s="8"/>
      <c r="D15" s="8"/>
      <c r="E15" s="8"/>
      <c r="F15" s="8"/>
      <c r="G15" s="8"/>
      <c r="H15" s="8"/>
      <c r="I15" s="8"/>
      <c r="J15" s="8"/>
      <c r="K15" s="8"/>
      <c r="L15" s="8"/>
    </row>
    <row r="16" spans="1:12" ht="15.75">
      <c r="A16" s="1" t="s">
        <v>10</v>
      </c>
      <c r="B16" s="8">
        <f>SUM(B17:B73)</f>
        <v>240744.9999999999</v>
      </c>
      <c r="C16" s="8">
        <f>SUM(C17:C73)</f>
        <v>218726</v>
      </c>
      <c r="D16" s="8" t="s">
        <v>3</v>
      </c>
      <c r="E16" s="8">
        <f>SUM(E17:E73)</f>
        <v>1506.3333333333333</v>
      </c>
      <c r="F16" s="8">
        <f>SUM(F17:F73)</f>
        <v>1079</v>
      </c>
      <c r="G16" s="8"/>
      <c r="H16" s="8">
        <f>SUM(H17:H73)</f>
        <v>103300.33333333336</v>
      </c>
      <c r="I16" s="8">
        <f>SUM(I17:I73)</f>
        <v>99477</v>
      </c>
      <c r="J16" s="8"/>
      <c r="K16" s="8">
        <f>SUM(K17:K73)</f>
        <v>135367.3333333333</v>
      </c>
      <c r="L16" s="8">
        <f>SUM(L17:L73)</f>
        <v>118170</v>
      </c>
    </row>
    <row r="17" spans="1:12" ht="15.75">
      <c r="A17" s="1" t="s">
        <v>11</v>
      </c>
      <c r="B17" s="8">
        <f>(6286+7639+8501)/3</f>
        <v>7475.333333333333</v>
      </c>
      <c r="C17" s="8">
        <v>6733</v>
      </c>
      <c r="D17" s="8"/>
      <c r="E17" s="8">
        <f>(19+14+23)/3</f>
        <v>18.666666666666668</v>
      </c>
      <c r="F17" s="8">
        <v>20</v>
      </c>
      <c r="G17" s="8"/>
      <c r="H17" s="8">
        <f>(2989+2979+3138)/3</f>
        <v>3035.3333333333335</v>
      </c>
      <c r="I17" s="8">
        <v>2816</v>
      </c>
      <c r="J17" s="8"/>
      <c r="K17" s="8">
        <f>(3278+4646+5340)/3</f>
        <v>4421.333333333333</v>
      </c>
      <c r="L17" s="8">
        <v>3897</v>
      </c>
    </row>
    <row r="18" spans="1:12" ht="15.75">
      <c r="A18" s="1" t="s">
        <v>12</v>
      </c>
      <c r="B18" s="8">
        <f>(669+895+890)/3</f>
        <v>818</v>
      </c>
      <c r="C18" s="8">
        <v>797</v>
      </c>
      <c r="D18" s="8"/>
      <c r="E18" s="8">
        <f>(6+13+4)/3</f>
        <v>7.666666666666667</v>
      </c>
      <c r="F18" s="8">
        <v>9</v>
      </c>
      <c r="G18" s="8"/>
      <c r="H18" s="8">
        <f>(299+334+297)/3</f>
        <v>310</v>
      </c>
      <c r="I18" s="8">
        <v>288</v>
      </c>
      <c r="J18" s="8"/>
      <c r="K18" s="8">
        <f>(364+548+589)/3</f>
        <v>500.3333333333333</v>
      </c>
      <c r="L18" s="8">
        <v>500</v>
      </c>
    </row>
    <row r="19" spans="1:12" ht="15.75">
      <c r="A19" s="1" t="s">
        <v>13</v>
      </c>
      <c r="B19" s="8">
        <f>(3582+4398+4970)/3</f>
        <v>4316.666666666667</v>
      </c>
      <c r="C19" s="8">
        <v>3777</v>
      </c>
      <c r="D19" s="8"/>
      <c r="E19" s="8">
        <f>(22+21+19)/3</f>
        <v>20.666666666666668</v>
      </c>
      <c r="F19" s="8">
        <v>13</v>
      </c>
      <c r="G19" s="8"/>
      <c r="H19" s="8">
        <f>(1594+1686+1854)/3</f>
        <v>1711.3333333333333</v>
      </c>
      <c r="I19" s="8">
        <v>1625</v>
      </c>
      <c r="J19" s="8"/>
      <c r="K19" s="8">
        <f>(1966+2691+3097)/3</f>
        <v>2584.6666666666665</v>
      </c>
      <c r="L19" s="8">
        <v>2139</v>
      </c>
    </row>
    <row r="20" spans="1:12" ht="15.75">
      <c r="A20" s="1" t="s">
        <v>14</v>
      </c>
      <c r="B20" s="8">
        <f>(1053+1287+1606)/3</f>
        <v>1315.3333333333333</v>
      </c>
      <c r="C20" s="8">
        <v>1267</v>
      </c>
      <c r="D20" s="8"/>
      <c r="E20" s="8">
        <f>(10+14+13)/3</f>
        <v>12.333333333333334</v>
      </c>
      <c r="F20" s="8">
        <v>13</v>
      </c>
      <c r="G20" s="8"/>
      <c r="H20" s="8">
        <f>(616+609+648)/3</f>
        <v>624.3333333333334</v>
      </c>
      <c r="I20" s="8">
        <v>565</v>
      </c>
      <c r="J20" s="8"/>
      <c r="K20" s="8">
        <f>(427+664+945)/3</f>
        <v>678.6666666666666</v>
      </c>
      <c r="L20" s="8">
        <v>689</v>
      </c>
    </row>
    <row r="21" spans="1:12" ht="15.75">
      <c r="A21" s="1" t="s">
        <v>15</v>
      </c>
      <c r="B21" s="8">
        <f>(1244+1472+1717)/3</f>
        <v>1477.6666666666667</v>
      </c>
      <c r="C21" s="8">
        <v>1287</v>
      </c>
      <c r="D21" s="8"/>
      <c r="E21" s="8">
        <f>(8+10+10)/3</f>
        <v>9.333333333333334</v>
      </c>
      <c r="F21" s="8">
        <v>5</v>
      </c>
      <c r="G21" s="8"/>
      <c r="H21" s="8">
        <f>(609+618+680)/3</f>
        <v>635.6666666666666</v>
      </c>
      <c r="I21" s="8">
        <v>575</v>
      </c>
      <c r="J21" s="8"/>
      <c r="K21" s="8">
        <f>(627+844+1027)/3</f>
        <v>832.6666666666666</v>
      </c>
      <c r="L21" s="8">
        <v>707</v>
      </c>
    </row>
    <row r="22" spans="1:12" ht="15.75">
      <c r="A22" s="1" t="s">
        <v>16</v>
      </c>
      <c r="B22" s="8">
        <f>(2557+2858+3444)/3</f>
        <v>2953</v>
      </c>
      <c r="C22" s="8">
        <v>2587</v>
      </c>
      <c r="D22" s="8"/>
      <c r="E22" s="8">
        <f>(15+10+18)/3</f>
        <v>14.333333333333334</v>
      </c>
      <c r="F22" s="8">
        <v>13</v>
      </c>
      <c r="G22" s="8"/>
      <c r="H22" s="8">
        <f>(1074+1059+1091)/3</f>
        <v>1074.6666666666667</v>
      </c>
      <c r="I22" s="8">
        <v>1017</v>
      </c>
      <c r="J22" s="8"/>
      <c r="K22" s="8">
        <f>(1468+1789+2335)/3</f>
        <v>1864</v>
      </c>
      <c r="L22" s="8">
        <v>1557</v>
      </c>
    </row>
    <row r="23" spans="1:12" ht="15.75">
      <c r="A23" s="1" t="s">
        <v>17</v>
      </c>
      <c r="B23" s="8">
        <f>(1304+1552+1652)/3</f>
        <v>1502.6666666666667</v>
      </c>
      <c r="C23" s="8">
        <v>1327</v>
      </c>
      <c r="D23" s="8"/>
      <c r="E23" s="8">
        <f>(8+11+6)/3</f>
        <v>8.333333333333334</v>
      </c>
      <c r="F23" s="8">
        <v>6</v>
      </c>
      <c r="G23" s="8"/>
      <c r="H23" s="8">
        <f>(697+701+690)/3</f>
        <v>696</v>
      </c>
      <c r="I23" s="8">
        <v>628</v>
      </c>
      <c r="J23" s="8"/>
      <c r="K23" s="8">
        <f>(599+840+956)/3</f>
        <v>798.3333333333334</v>
      </c>
      <c r="L23" s="8">
        <v>693</v>
      </c>
    </row>
    <row r="24" spans="1:12" ht="15.75">
      <c r="A24" s="1" t="s">
        <v>18</v>
      </c>
      <c r="B24" s="8">
        <f>(924+1149+1250)/3</f>
        <v>1107.6666666666667</v>
      </c>
      <c r="C24" s="8">
        <v>1020</v>
      </c>
      <c r="D24" s="8"/>
      <c r="E24" s="8">
        <f>(5+8+9)/3</f>
        <v>7.333333333333333</v>
      </c>
      <c r="F24" s="8">
        <v>9</v>
      </c>
      <c r="G24" s="8"/>
      <c r="H24" s="8">
        <f>(370+420+413)/3</f>
        <v>401</v>
      </c>
      <c r="I24" s="8">
        <v>396</v>
      </c>
      <c r="J24" s="8"/>
      <c r="K24" s="8">
        <f>(549+721+828)/3</f>
        <v>699.3333333333334</v>
      </c>
      <c r="L24" s="8">
        <v>615</v>
      </c>
    </row>
    <row r="25" spans="1:12" ht="15.75">
      <c r="A25" s="1" t="s">
        <v>19</v>
      </c>
      <c r="B25" s="8">
        <f>(1255+1561+1940)/3</f>
        <v>1585.3333333333333</v>
      </c>
      <c r="C25" s="8">
        <v>1511</v>
      </c>
      <c r="D25" s="8"/>
      <c r="E25" s="8">
        <f>(6+15+15)/3</f>
        <v>12</v>
      </c>
      <c r="F25" s="8">
        <v>13</v>
      </c>
      <c r="G25" s="8"/>
      <c r="H25" s="8">
        <f>(621+577+603)/3</f>
        <v>600.3333333333334</v>
      </c>
      <c r="I25" s="8">
        <v>563</v>
      </c>
      <c r="J25" s="8"/>
      <c r="K25" s="8">
        <f>(628+969+1322)/3</f>
        <v>973</v>
      </c>
      <c r="L25" s="8">
        <v>935</v>
      </c>
    </row>
    <row r="26" spans="1:12" ht="15.75">
      <c r="A26" s="1" t="s">
        <v>20</v>
      </c>
      <c r="B26" s="8">
        <f>(1308+1412+1492)/3</f>
        <v>1404</v>
      </c>
      <c r="C26" s="8">
        <v>1239</v>
      </c>
      <c r="D26" s="8"/>
      <c r="E26" s="8">
        <f>(14+8+11)/3</f>
        <v>11</v>
      </c>
      <c r="F26" s="8">
        <v>3</v>
      </c>
      <c r="G26" s="8"/>
      <c r="H26" s="8">
        <f>(557+528+485)/3</f>
        <v>523.3333333333334</v>
      </c>
      <c r="I26" s="8">
        <v>514</v>
      </c>
      <c r="J26" s="8"/>
      <c r="K26" s="8">
        <f>(737+876+996)/3</f>
        <v>869.6666666666666</v>
      </c>
      <c r="L26" s="8">
        <v>722</v>
      </c>
    </row>
    <row r="27" spans="1:12" ht="15.75">
      <c r="A27" s="1" t="s">
        <v>21</v>
      </c>
      <c r="B27" s="8">
        <f>(1130+1300+1326)/3</f>
        <v>1252</v>
      </c>
      <c r="C27" s="8">
        <v>1061</v>
      </c>
      <c r="D27" s="8"/>
      <c r="E27" s="8">
        <f>(7+8+3)/3</f>
        <v>6</v>
      </c>
      <c r="F27" s="8">
        <v>6</v>
      </c>
      <c r="G27" s="8"/>
      <c r="H27" s="8">
        <f>(392+412+384)/3</f>
        <v>396</v>
      </c>
      <c r="I27" s="8">
        <v>378</v>
      </c>
      <c r="J27" s="8"/>
      <c r="K27" s="8">
        <f>(731+880+939)/3</f>
        <v>850</v>
      </c>
      <c r="L27" s="8">
        <v>677</v>
      </c>
    </row>
    <row r="28" spans="1:12" ht="15.75">
      <c r="A28" s="1" t="s">
        <v>22</v>
      </c>
      <c r="B28" s="8">
        <f>(898+1126+1226)/3</f>
        <v>1083.3333333333333</v>
      </c>
      <c r="C28" s="8">
        <v>1017</v>
      </c>
      <c r="D28" s="8"/>
      <c r="E28" s="8">
        <f>(6+13+14)/3</f>
        <v>11</v>
      </c>
      <c r="F28" s="8">
        <v>4</v>
      </c>
      <c r="G28" s="8"/>
      <c r="H28" s="8">
        <f>(371+394+420)/3</f>
        <v>395</v>
      </c>
      <c r="I28" s="8">
        <v>377</v>
      </c>
      <c r="J28" s="8"/>
      <c r="K28" s="8">
        <f>(521+719+792)/3</f>
        <v>677.3333333333334</v>
      </c>
      <c r="L28" s="8">
        <v>636</v>
      </c>
    </row>
    <row r="29" spans="1:12" ht="15.75">
      <c r="A29" s="1" t="s">
        <v>23</v>
      </c>
      <c r="B29" s="8">
        <f>(5815+6577+7041)/3</f>
        <v>6477.666666666667</v>
      </c>
      <c r="C29" s="8">
        <v>5921</v>
      </c>
      <c r="D29" s="8"/>
      <c r="E29" s="8">
        <f>(27+29+29)/3</f>
        <v>28.333333333333332</v>
      </c>
      <c r="F29" s="8">
        <v>39</v>
      </c>
      <c r="G29" s="8"/>
      <c r="H29" s="8">
        <f>(2646+2818+2755)/3</f>
        <v>2739.6666666666665</v>
      </c>
      <c r="I29" s="8">
        <v>2639</v>
      </c>
      <c r="J29" s="8"/>
      <c r="K29" s="8">
        <f>(3142+3730+4257)/3</f>
        <v>3709.6666666666665</v>
      </c>
      <c r="L29" s="8">
        <v>3243</v>
      </c>
    </row>
    <row r="30" spans="1:12" ht="15.75">
      <c r="A30" s="1" t="s">
        <v>24</v>
      </c>
      <c r="B30" s="8">
        <f>(13450+15052+16917)/3</f>
        <v>15139.666666666666</v>
      </c>
      <c r="C30" s="8">
        <v>13941</v>
      </c>
      <c r="D30" s="8"/>
      <c r="E30" s="8">
        <f>(75+75+63)/3</f>
        <v>71</v>
      </c>
      <c r="F30" s="8">
        <v>76</v>
      </c>
      <c r="G30" s="8"/>
      <c r="H30" s="8">
        <f>(7709+7865+8324)/3</f>
        <v>7966</v>
      </c>
      <c r="I30" s="8">
        <v>7615</v>
      </c>
      <c r="J30" s="8"/>
      <c r="K30" s="8">
        <f>(5666+7112+8530)/3</f>
        <v>7102.666666666667</v>
      </c>
      <c r="L30" s="8">
        <v>6250</v>
      </c>
    </row>
    <row r="31" spans="1:12" ht="15.75">
      <c r="A31" s="1" t="s">
        <v>25</v>
      </c>
      <c r="B31" s="8">
        <f>(653+892+1033)/3</f>
        <v>859.3333333333334</v>
      </c>
      <c r="C31" s="8">
        <v>884</v>
      </c>
      <c r="D31" s="8"/>
      <c r="E31" s="8">
        <f>(5+4+9)/3</f>
        <v>6</v>
      </c>
      <c r="F31" s="8">
        <v>8</v>
      </c>
      <c r="G31" s="8"/>
      <c r="H31" s="8">
        <f>(315+348+324)/3</f>
        <v>329</v>
      </c>
      <c r="I31" s="8">
        <v>315</v>
      </c>
      <c r="J31" s="8"/>
      <c r="K31" s="8">
        <f>(333+540+700)/3</f>
        <v>524.3333333333334</v>
      </c>
      <c r="L31" s="8">
        <v>561</v>
      </c>
    </row>
    <row r="32" spans="1:12" ht="15.75">
      <c r="A32" s="1" t="s">
        <v>26</v>
      </c>
      <c r="B32" s="8">
        <f>(774+1020+1150)/3</f>
        <v>981.3333333333334</v>
      </c>
      <c r="C32" s="8">
        <v>919</v>
      </c>
      <c r="D32" s="8"/>
      <c r="E32" s="8">
        <f>(2+7+9)/3</f>
        <v>6</v>
      </c>
      <c r="F32" s="8">
        <v>7</v>
      </c>
      <c r="G32" s="8"/>
      <c r="H32" s="8">
        <f>(371+386+353)/3</f>
        <v>370</v>
      </c>
      <c r="I32" s="8">
        <v>335</v>
      </c>
      <c r="J32" s="8"/>
      <c r="K32" s="8">
        <f>(401+627+788)/3</f>
        <v>605.3333333333334</v>
      </c>
      <c r="L32" s="8">
        <v>577</v>
      </c>
    </row>
    <row r="33" spans="1:12" ht="15.75">
      <c r="A33" s="1" t="s">
        <v>27</v>
      </c>
      <c r="B33" s="8">
        <f>(999+1154+1376)/3</f>
        <v>1176.3333333333333</v>
      </c>
      <c r="C33" s="8">
        <v>1040</v>
      </c>
      <c r="D33" s="8"/>
      <c r="E33" s="8">
        <f>(5+3+2)/3</f>
        <v>3.3333333333333335</v>
      </c>
      <c r="F33" s="8">
        <v>3</v>
      </c>
      <c r="G33" s="8"/>
      <c r="H33" s="8">
        <f>(451+462+476)/3</f>
        <v>463</v>
      </c>
      <c r="I33" s="8">
        <v>424</v>
      </c>
      <c r="J33" s="8"/>
      <c r="K33" s="8">
        <f>(543+689+898)/3</f>
        <v>710</v>
      </c>
      <c r="L33" s="8">
        <v>613</v>
      </c>
    </row>
    <row r="34" spans="1:12" ht="15.75">
      <c r="A34" s="1" t="s">
        <v>28</v>
      </c>
      <c r="B34" s="8">
        <f>(1566+1782+1895)/3</f>
        <v>1747.6666666666667</v>
      </c>
      <c r="C34" s="8">
        <v>1367</v>
      </c>
      <c r="D34" s="8"/>
      <c r="E34" s="8">
        <f>(11+13+11)/3</f>
        <v>11.666666666666666</v>
      </c>
      <c r="F34" s="8">
        <v>19</v>
      </c>
      <c r="G34" s="8"/>
      <c r="H34" s="8">
        <f>(578+579+626)/3</f>
        <v>594.3333333333334</v>
      </c>
      <c r="I34" s="8">
        <v>545</v>
      </c>
      <c r="J34" s="8"/>
      <c r="K34" s="8">
        <f>(977+1190+1258)/3</f>
        <v>1141.6666666666667</v>
      </c>
      <c r="L34" s="8">
        <v>803</v>
      </c>
    </row>
    <row r="35" spans="1:12" ht="15.75">
      <c r="A35" s="1" t="s">
        <v>29</v>
      </c>
      <c r="B35" s="8">
        <f>(876+1111+1168)/3</f>
        <v>1051.6666666666667</v>
      </c>
      <c r="C35" s="8">
        <v>950</v>
      </c>
      <c r="D35" s="8"/>
      <c r="E35" s="8">
        <f>(9+7+7)/3</f>
        <v>7.666666666666667</v>
      </c>
      <c r="F35" s="8">
        <v>8</v>
      </c>
      <c r="G35" s="8"/>
      <c r="H35" s="8">
        <f>(374+384+392)/3</f>
        <v>383.3333333333333</v>
      </c>
      <c r="I35" s="8">
        <v>365</v>
      </c>
      <c r="J35" s="8"/>
      <c r="K35" s="8">
        <f>(496+720+769)/3</f>
        <v>661.6666666666666</v>
      </c>
      <c r="L35" s="8">
        <v>577</v>
      </c>
    </row>
    <row r="36" spans="1:12" ht="15.75">
      <c r="A36" s="1" t="s">
        <v>30</v>
      </c>
      <c r="B36" s="8">
        <f>(118+187+206)/3</f>
        <v>170.33333333333334</v>
      </c>
      <c r="C36" s="8">
        <v>159</v>
      </c>
      <c r="D36" s="8"/>
      <c r="E36" s="7">
        <f>(3+1+2)/3</f>
        <v>2</v>
      </c>
      <c r="F36" s="7">
        <v>2</v>
      </c>
      <c r="G36" s="8"/>
      <c r="H36" s="8">
        <f>(39+60+62)/3</f>
        <v>53.666666666666664</v>
      </c>
      <c r="I36" s="8">
        <v>42</v>
      </c>
      <c r="J36" s="8"/>
      <c r="K36" s="8">
        <f>(76+126+142)/3</f>
        <v>114.66666666666667</v>
      </c>
      <c r="L36" s="8">
        <v>115</v>
      </c>
    </row>
    <row r="37" spans="1:12" ht="15.75">
      <c r="A37" s="1" t="s">
        <v>31</v>
      </c>
      <c r="B37" s="8">
        <f>(840+1076+1302)/3</f>
        <v>1072.6666666666667</v>
      </c>
      <c r="C37" s="8">
        <v>970</v>
      </c>
      <c r="D37" s="8"/>
      <c r="E37" s="8">
        <f>(6+5+10)/3</f>
        <v>7</v>
      </c>
      <c r="F37" s="8">
        <v>7</v>
      </c>
      <c r="G37" s="8"/>
      <c r="H37" s="8">
        <f>(400+436+463)/3</f>
        <v>433</v>
      </c>
      <c r="I37" s="8">
        <v>392</v>
      </c>
      <c r="J37" s="8"/>
      <c r="K37" s="8">
        <f>(434+635+829)/3</f>
        <v>632.6666666666666</v>
      </c>
      <c r="L37" s="8">
        <v>571</v>
      </c>
    </row>
    <row r="38" spans="1:12" ht="15.75">
      <c r="A38" s="1" t="s">
        <v>32</v>
      </c>
      <c r="B38" s="8">
        <f>(1820+1996+2370)/3</f>
        <v>2062</v>
      </c>
      <c r="C38" s="8">
        <v>1833</v>
      </c>
      <c r="D38" s="8"/>
      <c r="E38" s="8">
        <f>(11+11+13)/3</f>
        <v>11.666666666666666</v>
      </c>
      <c r="F38" s="8">
        <v>17</v>
      </c>
      <c r="G38" s="8"/>
      <c r="H38" s="8">
        <f>(788+820+756)/3</f>
        <v>788</v>
      </c>
      <c r="I38" s="8">
        <v>760</v>
      </c>
      <c r="J38" s="8"/>
      <c r="K38" s="8">
        <f>(1021+1165+1601)/3</f>
        <v>1262.3333333333333</v>
      </c>
      <c r="L38" s="8">
        <v>1056</v>
      </c>
    </row>
    <row r="39" spans="1:12" ht="15.75">
      <c r="A39" s="1" t="s">
        <v>33</v>
      </c>
      <c r="B39" s="8">
        <f>(453+526+656)/3</f>
        <v>545</v>
      </c>
      <c r="C39" s="8">
        <v>472</v>
      </c>
      <c r="D39" s="8"/>
      <c r="E39" s="8">
        <f>(5+6+6)/3</f>
        <v>5.666666666666667</v>
      </c>
      <c r="F39" s="8">
        <v>3</v>
      </c>
      <c r="G39" s="8"/>
      <c r="H39" s="8">
        <f>(157+182+183)/3</f>
        <v>174</v>
      </c>
      <c r="I39" s="8">
        <v>163</v>
      </c>
      <c r="J39" s="8"/>
      <c r="K39" s="8">
        <f>(291+338+467)/3</f>
        <v>365.3333333333333</v>
      </c>
      <c r="L39" s="8">
        <v>306</v>
      </c>
    </row>
    <row r="40" spans="1:12" ht="15.75">
      <c r="A40" s="1" t="s">
        <v>34</v>
      </c>
      <c r="B40" s="8">
        <f>(1319+1527+1683)/3</f>
        <v>1509.6666666666667</v>
      </c>
      <c r="C40" s="8">
        <v>1396</v>
      </c>
      <c r="D40" s="8"/>
      <c r="E40" s="8">
        <f>(8+4+8)/3</f>
        <v>6.666666666666667</v>
      </c>
      <c r="F40" s="8">
        <v>8</v>
      </c>
      <c r="G40" s="8"/>
      <c r="H40" s="8">
        <f>(427+446+454)/3</f>
        <v>442.3333333333333</v>
      </c>
      <c r="I40" s="8">
        <v>460</v>
      </c>
      <c r="J40" s="8"/>
      <c r="K40" s="8">
        <f>(884+1077+1221)/3</f>
        <v>1060.6666666666667</v>
      </c>
      <c r="L40" s="8">
        <v>928</v>
      </c>
    </row>
    <row r="41" spans="1:12" ht="15.75">
      <c r="A41" s="1" t="s">
        <v>35</v>
      </c>
      <c r="B41" s="8">
        <f>(1199+1390+1689)/3</f>
        <v>1426</v>
      </c>
      <c r="C41" s="8">
        <v>1309</v>
      </c>
      <c r="D41" s="8"/>
      <c r="E41" s="8">
        <f>(17+10+9)/3</f>
        <v>12</v>
      </c>
      <c r="F41" s="8">
        <v>12</v>
      </c>
      <c r="G41" s="8"/>
      <c r="H41" s="8">
        <f>(492+492+552)/3</f>
        <v>512</v>
      </c>
      <c r="I41" s="8">
        <v>461</v>
      </c>
      <c r="J41" s="8"/>
      <c r="K41" s="8">
        <f>(690+888+1128)/3</f>
        <v>902</v>
      </c>
      <c r="L41" s="8">
        <v>836</v>
      </c>
    </row>
    <row r="42" spans="1:12" ht="15.75">
      <c r="A42" s="1" t="s">
        <v>36</v>
      </c>
      <c r="B42" s="8">
        <f>(15279+16989+18852)/3</f>
        <v>17040</v>
      </c>
      <c r="C42" s="8">
        <v>14387</v>
      </c>
      <c r="D42" s="8"/>
      <c r="E42" s="8">
        <f>(36+49+48)/3</f>
        <v>44.333333333333336</v>
      </c>
      <c r="F42" s="8">
        <v>55</v>
      </c>
      <c r="G42" s="8"/>
      <c r="H42" s="8">
        <f>(6036+6067+6598)/3</f>
        <v>6233.666666666667</v>
      </c>
      <c r="I42" s="8">
        <v>6098</v>
      </c>
      <c r="J42" s="8"/>
      <c r="K42" s="8">
        <f>(9207+10873+12206)/3</f>
        <v>10762</v>
      </c>
      <c r="L42" s="8">
        <v>8234</v>
      </c>
    </row>
    <row r="43" spans="1:12" ht="15.75">
      <c r="A43" s="1" t="s">
        <v>37</v>
      </c>
      <c r="B43" s="8">
        <f>(1020+1127+1336)/3</f>
        <v>1161</v>
      </c>
      <c r="C43" s="8">
        <v>965</v>
      </c>
      <c r="D43" s="8"/>
      <c r="E43" s="8">
        <f>(6+1+6)/3</f>
        <v>4.333333333333333</v>
      </c>
      <c r="F43" s="8">
        <v>8</v>
      </c>
      <c r="G43" s="8"/>
      <c r="H43" s="8">
        <f>(441+396+372)/3</f>
        <v>403</v>
      </c>
      <c r="I43" s="8">
        <v>348</v>
      </c>
      <c r="J43" s="8"/>
      <c r="K43" s="8">
        <f>(573+730+958)/3</f>
        <v>753.6666666666666</v>
      </c>
      <c r="L43" s="8">
        <v>609</v>
      </c>
    </row>
    <row r="44" spans="1:12" ht="15.75">
      <c r="A44" s="1" t="s">
        <v>38</v>
      </c>
      <c r="B44" s="8">
        <f>(33100+35212+37716)/3</f>
        <v>35342.666666666664</v>
      </c>
      <c r="C44" s="8">
        <v>32297</v>
      </c>
      <c r="D44" s="8"/>
      <c r="E44" s="8">
        <f>(101+123+94)/3</f>
        <v>106</v>
      </c>
      <c r="F44" s="8">
        <v>93</v>
      </c>
      <c r="G44" s="8"/>
      <c r="H44" s="8">
        <f>(16933+16681+17304)/3</f>
        <v>16972.666666666668</v>
      </c>
      <c r="I44" s="8">
        <v>16528</v>
      </c>
      <c r="J44" s="8"/>
      <c r="K44" s="8">
        <f>(16066+18408+20318)/3</f>
        <v>18264</v>
      </c>
      <c r="L44" s="8">
        <v>15676</v>
      </c>
    </row>
    <row r="45" spans="1:12" ht="15.75">
      <c r="A45" s="1" t="s">
        <v>39</v>
      </c>
      <c r="B45" s="8">
        <f>(3298+3834+4100)/3</f>
        <v>3744</v>
      </c>
      <c r="C45" s="8">
        <v>3349</v>
      </c>
      <c r="D45" s="8"/>
      <c r="E45" s="8">
        <f>(21+18+13)/3</f>
        <v>17.333333333333332</v>
      </c>
      <c r="F45" s="8">
        <v>25</v>
      </c>
      <c r="G45" s="8"/>
      <c r="H45" s="8">
        <f>(1714+1891+1894)/3</f>
        <v>1833</v>
      </c>
      <c r="I45" s="8">
        <v>1743</v>
      </c>
      <c r="J45" s="8"/>
      <c r="K45" s="8">
        <f>(1563+1925+2193)/3</f>
        <v>1893.6666666666667</v>
      </c>
      <c r="L45" s="8">
        <v>1581</v>
      </c>
    </row>
    <row r="46" spans="1:12" ht="15.75">
      <c r="A46" s="1" t="s">
        <v>40</v>
      </c>
      <c r="B46" s="8">
        <f>(4768+5459+6335)/3</f>
        <v>5520.666666666667</v>
      </c>
      <c r="C46" s="8">
        <v>4893</v>
      </c>
      <c r="D46" s="8"/>
      <c r="E46" s="8">
        <f>(16+31+18)/3</f>
        <v>21.666666666666668</v>
      </c>
      <c r="F46" s="8">
        <v>20</v>
      </c>
      <c r="G46" s="8"/>
      <c r="H46" s="8">
        <f>(2189+2175+2202)/3</f>
        <v>2188.6666666666665</v>
      </c>
      <c r="I46" s="8">
        <v>2089</v>
      </c>
      <c r="J46" s="8"/>
      <c r="K46" s="8">
        <f>(2563+3253+4115)/3</f>
        <v>3310.3333333333335</v>
      </c>
      <c r="L46" s="8">
        <v>2784</v>
      </c>
    </row>
    <row r="47" spans="1:12" ht="15.75">
      <c r="A47" s="1" t="s">
        <v>41</v>
      </c>
      <c r="B47" s="8">
        <f>(10151+11787+13010)/3</f>
        <v>11649.333333333334</v>
      </c>
      <c r="C47" s="8">
        <v>9971</v>
      </c>
      <c r="D47" s="8"/>
      <c r="E47" s="8">
        <f>(37+34+20)/3</f>
        <v>30.333333333333332</v>
      </c>
      <c r="F47" s="8">
        <v>30</v>
      </c>
      <c r="G47" s="8"/>
      <c r="H47" s="8">
        <f>(4540+4509+4431)/3</f>
        <v>4493.333333333333</v>
      </c>
      <c r="I47" s="8">
        <v>4038</v>
      </c>
      <c r="J47" s="8"/>
      <c r="K47" s="8">
        <f>(5574+7244+8559)/3</f>
        <v>7125.666666666667</v>
      </c>
      <c r="L47" s="8">
        <v>5903</v>
      </c>
    </row>
    <row r="48" spans="1:12" ht="15.75">
      <c r="A48" s="1" t="s">
        <v>42</v>
      </c>
      <c r="B48" s="8">
        <f>(2722+3177+3554)/3</f>
        <v>3151</v>
      </c>
      <c r="C48" s="8">
        <v>2414</v>
      </c>
      <c r="D48" s="8"/>
      <c r="E48" s="8">
        <f>(17+15+14)/3</f>
        <v>15.333333333333334</v>
      </c>
      <c r="F48" s="8">
        <v>18</v>
      </c>
      <c r="G48" s="8"/>
      <c r="H48" s="8">
        <f>(762+794+857)/3</f>
        <v>804.3333333333334</v>
      </c>
      <c r="I48" s="8">
        <v>758</v>
      </c>
      <c r="J48" s="8"/>
      <c r="K48" s="8">
        <f>(1943+2368+2683)/3</f>
        <v>2331.3333333333335</v>
      </c>
      <c r="L48" s="8">
        <v>1638</v>
      </c>
    </row>
    <row r="49" spans="1:12" ht="15.75">
      <c r="A49" s="1" t="s">
        <v>43</v>
      </c>
      <c r="B49" s="8">
        <f>(6866+8204+9604)/3</f>
        <v>8224.666666666666</v>
      </c>
      <c r="C49" s="8">
        <v>8183</v>
      </c>
      <c r="D49" s="8"/>
      <c r="E49" s="8">
        <f>(31+43+30)/3</f>
        <v>34.666666666666664</v>
      </c>
      <c r="F49" s="8">
        <v>36</v>
      </c>
      <c r="G49" s="8"/>
      <c r="H49" s="8">
        <f>(3364+3511+3662)/3</f>
        <v>3512.3333333333335</v>
      </c>
      <c r="I49" s="8">
        <v>3524</v>
      </c>
      <c r="J49" s="8"/>
      <c r="K49" s="8">
        <f>(3471+4650+5912)/3</f>
        <v>4677.666666666667</v>
      </c>
      <c r="L49" s="8">
        <v>4623</v>
      </c>
    </row>
    <row r="50" spans="1:12" ht="15.75">
      <c r="A50" s="1" t="s">
        <v>44</v>
      </c>
      <c r="B50" s="8">
        <f>(730+766+848)/3</f>
        <v>781.3333333333334</v>
      </c>
      <c r="C50" s="8">
        <v>644</v>
      </c>
      <c r="D50" s="8"/>
      <c r="E50" s="8">
        <f>(10+7+2)/3</f>
        <v>6.333333333333333</v>
      </c>
      <c r="F50" s="8">
        <v>9</v>
      </c>
      <c r="G50" s="8"/>
      <c r="H50" s="8">
        <f>(290+246+262)/3</f>
        <v>266</v>
      </c>
      <c r="I50" s="8">
        <v>248</v>
      </c>
      <c r="J50" s="8"/>
      <c r="K50" s="8">
        <f>(430+513+584)/3</f>
        <v>509</v>
      </c>
      <c r="L50" s="8">
        <v>387</v>
      </c>
    </row>
    <row r="51" spans="1:12" ht="15.75">
      <c r="A51" s="1" t="s">
        <v>45</v>
      </c>
      <c r="B51" s="8">
        <f>(2465+2842+3360)/3</f>
        <v>2889</v>
      </c>
      <c r="C51" s="8">
        <v>2544</v>
      </c>
      <c r="D51" s="8"/>
      <c r="E51" s="8">
        <f>(23+24+24)/3</f>
        <v>23.666666666666668</v>
      </c>
      <c r="F51" s="8">
        <v>18</v>
      </c>
      <c r="G51" s="8"/>
      <c r="H51" s="8">
        <f>(1017+993+1083)/3</f>
        <v>1031</v>
      </c>
      <c r="I51" s="8">
        <v>1036</v>
      </c>
      <c r="J51" s="8"/>
      <c r="K51" s="8">
        <f>(1425+1825+2253)/3</f>
        <v>1834.3333333333333</v>
      </c>
      <c r="L51" s="8">
        <v>1490</v>
      </c>
    </row>
    <row r="52" spans="1:12" ht="15.75">
      <c r="A52" s="1" t="s">
        <v>46</v>
      </c>
      <c r="B52" s="8">
        <f>(1265+1558+1572)/3</f>
        <v>1465</v>
      </c>
      <c r="C52" s="8">
        <v>1258</v>
      </c>
      <c r="D52" s="8"/>
      <c r="E52" s="8">
        <f>(10+9+9)/3</f>
        <v>9.333333333333334</v>
      </c>
      <c r="F52" s="8">
        <v>11</v>
      </c>
      <c r="G52" s="8"/>
      <c r="H52" s="8">
        <f>(478+567+504)/3</f>
        <v>516.3333333333334</v>
      </c>
      <c r="I52" s="8">
        <v>450</v>
      </c>
      <c r="J52" s="8"/>
      <c r="K52" s="8">
        <f>(777+982+1059)/3</f>
        <v>939.3333333333334</v>
      </c>
      <c r="L52" s="8">
        <v>797</v>
      </c>
    </row>
    <row r="53" spans="1:12" ht="15.75">
      <c r="A53" s="1" t="s">
        <v>47</v>
      </c>
      <c r="B53" s="8">
        <f>(1936+2141+2649)/3</f>
        <v>2242</v>
      </c>
      <c r="C53" s="8">
        <v>2344</v>
      </c>
      <c r="D53" s="8"/>
      <c r="E53" s="8">
        <f>(12+15+10)/3</f>
        <v>12.333333333333334</v>
      </c>
      <c r="F53" s="8">
        <v>10</v>
      </c>
      <c r="G53" s="8"/>
      <c r="H53" s="8">
        <f>(910+954+959)/3</f>
        <v>941</v>
      </c>
      <c r="I53" s="8">
        <v>950</v>
      </c>
      <c r="J53" s="8"/>
      <c r="K53" s="8">
        <f>(1014+1172+1680)/3</f>
        <v>1288.6666666666667</v>
      </c>
      <c r="L53" s="8">
        <v>1384</v>
      </c>
    </row>
    <row r="54" spans="1:12" ht="15.75">
      <c r="A54" s="1" t="s">
        <v>48</v>
      </c>
      <c r="B54" s="8">
        <f>(2442+2785+3106)/3</f>
        <v>2777.6666666666665</v>
      </c>
      <c r="C54" s="8">
        <v>2435</v>
      </c>
      <c r="D54" s="8"/>
      <c r="E54" s="8">
        <f>(18+11+15)/3</f>
        <v>14.666666666666666</v>
      </c>
      <c r="F54" s="8">
        <v>15</v>
      </c>
      <c r="G54" s="8"/>
      <c r="H54" s="8">
        <f>(1219+1191+1249)/3</f>
        <v>1219.6666666666667</v>
      </c>
      <c r="I54" s="8">
        <v>1061</v>
      </c>
      <c r="J54" s="8"/>
      <c r="K54" s="8">
        <f>(1205+1583+1842)/3</f>
        <v>1543.3333333333333</v>
      </c>
      <c r="L54" s="8">
        <v>1359</v>
      </c>
    </row>
    <row r="55" spans="1:12" ht="15.75">
      <c r="A55" s="1" t="s">
        <v>49</v>
      </c>
      <c r="B55" s="8">
        <f>(5279+6396+7262)/3</f>
        <v>6312.333333333333</v>
      </c>
      <c r="C55" s="8">
        <v>6069</v>
      </c>
      <c r="D55" s="8"/>
      <c r="E55" s="8">
        <f>(26+22+18)/3</f>
        <v>22</v>
      </c>
      <c r="F55" s="8">
        <v>20</v>
      </c>
      <c r="G55" s="8"/>
      <c r="H55" s="8">
        <f>(2849+2930+3160)/3</f>
        <v>2979.6666666666665</v>
      </c>
      <c r="I55" s="8">
        <v>2990</v>
      </c>
      <c r="J55" s="8"/>
      <c r="K55" s="8">
        <f>(2404+3444+4084)/3</f>
        <v>3310.6666666666665</v>
      </c>
      <c r="L55" s="8">
        <v>3059</v>
      </c>
    </row>
    <row r="56" spans="1:12" ht="15.75">
      <c r="A56" s="1" t="s">
        <v>50</v>
      </c>
      <c r="B56" s="8">
        <f>(1875+2741+2867)/3</f>
        <v>2494.3333333333335</v>
      </c>
      <c r="C56" s="8">
        <v>1924</v>
      </c>
      <c r="D56" s="8"/>
      <c r="E56" s="8">
        <f>(16+23+21)/3</f>
        <v>20</v>
      </c>
      <c r="F56" s="8">
        <v>16</v>
      </c>
      <c r="G56" s="8"/>
      <c r="H56" s="8">
        <f>(684+693+742)/3</f>
        <v>706.3333333333334</v>
      </c>
      <c r="I56" s="8">
        <v>723</v>
      </c>
      <c r="J56" s="8"/>
      <c r="K56" s="8">
        <f>(1175+2025+2104)/3</f>
        <v>1768</v>
      </c>
      <c r="L56" s="8">
        <v>1185</v>
      </c>
    </row>
    <row r="57" spans="1:12" ht="15.75">
      <c r="A57" s="1" t="s">
        <v>51</v>
      </c>
      <c r="B57" s="8">
        <f>(2637+3052+3314)/3</f>
        <v>3001</v>
      </c>
      <c r="C57" s="8">
        <v>2801</v>
      </c>
      <c r="D57" s="8"/>
      <c r="E57" s="8">
        <f>(19+23+16)/3</f>
        <v>19.333333333333332</v>
      </c>
      <c r="F57" s="8">
        <v>18</v>
      </c>
      <c r="G57" s="8"/>
      <c r="H57" s="8">
        <f>(1380+1422+1421)/3</f>
        <v>1407.6666666666667</v>
      </c>
      <c r="I57" s="8">
        <v>1336</v>
      </c>
      <c r="J57" s="8"/>
      <c r="K57" s="8">
        <f>(1238+1607+1877)/3</f>
        <v>1574</v>
      </c>
      <c r="L57" s="8">
        <v>1447</v>
      </c>
    </row>
    <row r="58" spans="1:12" ht="15.75">
      <c r="A58" s="1" t="s">
        <v>52</v>
      </c>
      <c r="B58" s="8">
        <f>(2562+2918+3708)/3</f>
        <v>3062.6666666666665</v>
      </c>
      <c r="C58" s="8">
        <v>2625</v>
      </c>
      <c r="D58" s="8"/>
      <c r="E58" s="8">
        <f>(6+7+13)/3</f>
        <v>8.666666666666666</v>
      </c>
      <c r="F58" s="8">
        <v>11</v>
      </c>
      <c r="G58" s="8"/>
      <c r="H58" s="8">
        <f>(1122+1165+1221)/3</f>
        <v>1169.3333333333333</v>
      </c>
      <c r="I58" s="8">
        <v>1186</v>
      </c>
      <c r="J58" s="8"/>
      <c r="K58" s="8">
        <f>(1434+1746+1874)/3</f>
        <v>1684.6666666666667</v>
      </c>
      <c r="L58" s="8">
        <v>1428</v>
      </c>
    </row>
    <row r="59" spans="1:12" ht="15.75">
      <c r="A59" s="1" t="s">
        <v>53</v>
      </c>
      <c r="B59" s="8">
        <f>(522+634+731)/3</f>
        <v>629</v>
      </c>
      <c r="C59" s="8">
        <v>634</v>
      </c>
      <c r="D59" s="8"/>
      <c r="E59" s="8">
        <f>(8+6+2)/3</f>
        <v>5.333333333333333</v>
      </c>
      <c r="F59" s="8">
        <v>6</v>
      </c>
      <c r="G59" s="8"/>
      <c r="H59" s="8">
        <f>(224+223+249)/3</f>
        <v>232</v>
      </c>
      <c r="I59" s="8">
        <v>266</v>
      </c>
      <c r="J59" s="8"/>
      <c r="K59" s="8">
        <f>(290+405+480)/3</f>
        <v>391.6666666666667</v>
      </c>
      <c r="L59" s="8">
        <v>362</v>
      </c>
    </row>
    <row r="60" spans="1:12" ht="15.75">
      <c r="A60" s="1" t="s">
        <v>54</v>
      </c>
      <c r="B60" s="8">
        <f>(178+440+524)/3</f>
        <v>380.6666666666667</v>
      </c>
      <c r="C60" s="8">
        <v>394</v>
      </c>
      <c r="D60" s="8"/>
      <c r="E60" s="8">
        <f>(1+4+1)/3</f>
        <v>2</v>
      </c>
      <c r="F60" s="8">
        <v>1</v>
      </c>
      <c r="G60" s="8"/>
      <c r="H60" s="8">
        <f>(122+137+147)/3</f>
        <v>135.33333333333334</v>
      </c>
      <c r="I60" s="8">
        <v>128</v>
      </c>
      <c r="J60" s="8"/>
      <c r="K60" s="8">
        <f>(55+299+376)/3</f>
        <v>243.33333333333334</v>
      </c>
      <c r="L60" s="8">
        <v>265</v>
      </c>
    </row>
    <row r="61" spans="1:12" ht="15.75">
      <c r="A61" s="1" t="s">
        <v>55</v>
      </c>
      <c r="B61" s="8">
        <f>(745+923+1023)/3</f>
        <v>897</v>
      </c>
      <c r="C61" s="8">
        <v>704</v>
      </c>
      <c r="D61" s="8"/>
      <c r="E61" s="8">
        <f>(6+2+6)/3</f>
        <v>4.666666666666667</v>
      </c>
      <c r="F61" s="8">
        <v>4</v>
      </c>
      <c r="G61" s="8"/>
      <c r="H61" s="8">
        <f>(506+638+745)/3</f>
        <v>629.6666666666666</v>
      </c>
      <c r="I61" s="8">
        <v>249</v>
      </c>
      <c r="J61" s="8"/>
      <c r="K61" s="8">
        <f>(506+638+745)/3</f>
        <v>629.6666666666666</v>
      </c>
      <c r="L61" s="8">
        <v>451</v>
      </c>
    </row>
    <row r="62" spans="1:12" ht="15.75">
      <c r="A62" s="1" t="s">
        <v>56</v>
      </c>
      <c r="B62" s="8">
        <f>(1401+1836+2318)/3</f>
        <v>1851.6666666666667</v>
      </c>
      <c r="C62" s="8">
        <v>1669</v>
      </c>
      <c r="D62" s="8"/>
      <c r="E62" s="8">
        <f>(9+16+13)/3</f>
        <v>12.666666666666666</v>
      </c>
      <c r="F62" s="8">
        <v>12</v>
      </c>
      <c r="G62" s="8"/>
      <c r="H62" s="8">
        <f>(648+741+801)/3</f>
        <v>730</v>
      </c>
      <c r="I62" s="8">
        <v>693</v>
      </c>
      <c r="J62" s="8"/>
      <c r="K62" s="8">
        <f>(744+1079+1504)/3</f>
        <v>1109</v>
      </c>
      <c r="L62" s="8">
        <v>964</v>
      </c>
    </row>
    <row r="63" spans="1:12" ht="15.75">
      <c r="A63" s="1" t="s">
        <v>57</v>
      </c>
      <c r="B63" s="8">
        <f>(29642+31407+38454)/3</f>
        <v>33167.666666666664</v>
      </c>
      <c r="C63" s="8">
        <v>30518</v>
      </c>
      <c r="D63" s="8"/>
      <c r="E63" s="8">
        <f>(162+1536+151)/3</f>
        <v>616.3333333333334</v>
      </c>
      <c r="F63" s="8">
        <v>164</v>
      </c>
      <c r="G63" s="8"/>
      <c r="H63" s="8">
        <f>(14974+14621+15233)/3</f>
        <v>14942.666666666666</v>
      </c>
      <c r="I63" s="8">
        <v>15055</v>
      </c>
      <c r="J63" s="8"/>
      <c r="K63" s="8">
        <f>(14506+16633+19470)/3</f>
        <v>16869.666666666668</v>
      </c>
      <c r="L63" s="8">
        <v>15299</v>
      </c>
    </row>
    <row r="64" spans="1:12" ht="15.75">
      <c r="A64" s="1" t="s">
        <v>58</v>
      </c>
      <c r="B64" s="8">
        <f>(1331+1777+2018)/3</f>
        <v>1708.6666666666667</v>
      </c>
      <c r="C64" s="8">
        <v>1653</v>
      </c>
      <c r="D64" s="8"/>
      <c r="E64" s="8">
        <f>(17+12+11)/3</f>
        <v>13.333333333333334</v>
      </c>
      <c r="F64" s="8">
        <v>10</v>
      </c>
      <c r="G64" s="8"/>
      <c r="H64" s="8">
        <f>(716+720+712)/3</f>
        <v>716</v>
      </c>
      <c r="I64" s="8">
        <v>693</v>
      </c>
      <c r="J64" s="8"/>
      <c r="K64" s="8">
        <f>(598+1045+1295)/3</f>
        <v>979.3333333333334</v>
      </c>
      <c r="L64" s="8">
        <v>950</v>
      </c>
    </row>
    <row r="65" spans="1:12" ht="15.75">
      <c r="A65" s="1" t="s">
        <v>59</v>
      </c>
      <c r="B65" s="8">
        <f>(886+1018+1116)/3</f>
        <v>1006.6666666666666</v>
      </c>
      <c r="C65" s="8">
        <v>817</v>
      </c>
      <c r="D65" s="8"/>
      <c r="E65" s="8">
        <f>(4+3+4)/3</f>
        <v>3.6666666666666665</v>
      </c>
      <c r="F65" s="8">
        <v>10</v>
      </c>
      <c r="G65" s="8"/>
      <c r="H65" s="8">
        <f>(318+351+347)/3</f>
        <v>338.6666666666667</v>
      </c>
      <c r="I65" s="8">
        <v>277</v>
      </c>
      <c r="J65" s="8"/>
      <c r="K65" s="8">
        <f>(564+664+765)/3</f>
        <v>664.3333333333334</v>
      </c>
      <c r="L65" s="8">
        <v>530</v>
      </c>
    </row>
    <row r="66" spans="1:12" ht="15.75">
      <c r="A66" s="1" t="s">
        <v>60</v>
      </c>
      <c r="B66" s="8">
        <f>(1601+2182+2561)/3</f>
        <v>2114.6666666666665</v>
      </c>
      <c r="C66" s="8">
        <v>1988</v>
      </c>
      <c r="D66" s="8"/>
      <c r="E66" s="8">
        <f>(6+5+6)/3</f>
        <v>5.666666666666667</v>
      </c>
      <c r="F66" s="8">
        <v>7</v>
      </c>
      <c r="G66" s="8"/>
      <c r="H66" s="8">
        <f>(623+715+740)/3</f>
        <v>692.6666666666666</v>
      </c>
      <c r="I66" s="8">
        <v>640</v>
      </c>
      <c r="J66" s="8"/>
      <c r="K66" s="8">
        <f>(972+1462+1815)/3</f>
        <v>1416.3333333333333</v>
      </c>
      <c r="L66" s="8">
        <v>1341</v>
      </c>
    </row>
    <row r="67" spans="1:12" ht="15.75">
      <c r="A67" s="1" t="s">
        <v>61</v>
      </c>
      <c r="B67" s="8">
        <f>(3378+4164+4583)/3</f>
        <v>4041.6666666666665</v>
      </c>
      <c r="C67" s="8">
        <v>3766</v>
      </c>
      <c r="D67" s="8"/>
      <c r="E67" s="8">
        <f>(20+20+21)/3</f>
        <v>20.333333333333332</v>
      </c>
      <c r="F67" s="8">
        <v>27</v>
      </c>
      <c r="G67" s="8"/>
      <c r="H67" s="8">
        <f>(1767+1722+1800)/3</f>
        <v>1763</v>
      </c>
      <c r="I67" s="8">
        <v>1611</v>
      </c>
      <c r="J67" s="8"/>
      <c r="K67" s="8">
        <f>(1591+2422+2762)/3</f>
        <v>2258.3333333333335</v>
      </c>
      <c r="L67" s="8">
        <v>2128</v>
      </c>
    </row>
    <row r="68" spans="1:12" ht="15.75">
      <c r="A68" s="1" t="s">
        <v>62</v>
      </c>
      <c r="B68" s="8">
        <f>(1639+2026+2080)/3</f>
        <v>1915</v>
      </c>
      <c r="C68" s="8">
        <v>1673</v>
      </c>
      <c r="D68" s="8"/>
      <c r="E68" s="8">
        <f>(3+8+7)/3</f>
        <v>6</v>
      </c>
      <c r="F68" s="8">
        <v>7</v>
      </c>
      <c r="G68" s="8"/>
      <c r="H68" s="8">
        <f>(682+687+678)/3</f>
        <v>682.3333333333334</v>
      </c>
      <c r="I68" s="8">
        <v>637</v>
      </c>
      <c r="J68" s="8"/>
      <c r="K68" s="8">
        <f>(954+1331+1395)/3</f>
        <v>1226.6666666666667</v>
      </c>
      <c r="L68" s="8">
        <v>1029</v>
      </c>
    </row>
    <row r="69" spans="1:12" ht="15.75">
      <c r="A69" s="1" t="s">
        <v>63</v>
      </c>
      <c r="B69" s="8">
        <f>(935+1242+1274)/3</f>
        <v>1150.3333333333333</v>
      </c>
      <c r="C69" s="8">
        <v>1089</v>
      </c>
      <c r="D69" s="8"/>
      <c r="E69" s="8">
        <f>(11+8+11)/3</f>
        <v>10</v>
      </c>
      <c r="F69" s="8">
        <v>8</v>
      </c>
      <c r="G69" s="8"/>
      <c r="H69" s="8">
        <f>(433+471+430)/3</f>
        <v>444.6666666666667</v>
      </c>
      <c r="I69" s="8">
        <v>444</v>
      </c>
      <c r="J69" s="8"/>
      <c r="K69" s="8">
        <f>(491+763+833)/3</f>
        <v>695.6666666666666</v>
      </c>
      <c r="L69" s="8">
        <v>637</v>
      </c>
    </row>
    <row r="70" spans="1:12" ht="15.75">
      <c r="A70" s="1" t="s">
        <v>64</v>
      </c>
      <c r="B70" s="8">
        <f>(1549+1672+1941)/3</f>
        <v>1720.6666666666667</v>
      </c>
      <c r="C70" s="8">
        <v>1445</v>
      </c>
      <c r="D70" s="8"/>
      <c r="E70" s="8">
        <f>(14+9+11)/3</f>
        <v>11.333333333333334</v>
      </c>
      <c r="F70" s="8">
        <v>21</v>
      </c>
      <c r="G70" s="8"/>
      <c r="H70" s="1">
        <f>(690+640+647)/3</f>
        <v>659</v>
      </c>
      <c r="I70" s="1">
        <v>584</v>
      </c>
      <c r="J70" s="8"/>
      <c r="K70" s="8">
        <f>(845+1023+1283)/3</f>
        <v>1050.3333333333333</v>
      </c>
      <c r="L70" s="8">
        <v>840</v>
      </c>
    </row>
    <row r="71" spans="1:12" ht="15.75">
      <c r="A71" s="1" t="s">
        <v>65</v>
      </c>
      <c r="B71" s="8">
        <f>(16314+17452+19153)/3</f>
        <v>17639.666666666668</v>
      </c>
      <c r="C71" s="8">
        <v>17359</v>
      </c>
      <c r="D71" s="8"/>
      <c r="E71" s="8">
        <f>(52+51+56)/3</f>
        <v>53</v>
      </c>
      <c r="F71" s="8">
        <v>54</v>
      </c>
      <c r="G71" s="8"/>
      <c r="H71" s="8">
        <f>(8647+8409+8672)/3</f>
        <v>8576</v>
      </c>
      <c r="I71" s="8">
        <v>8426</v>
      </c>
      <c r="J71" s="8"/>
      <c r="K71" s="8">
        <f>(7615+8992+10425)/3</f>
        <v>9010.666666666666</v>
      </c>
      <c r="L71" s="8">
        <v>8879</v>
      </c>
    </row>
    <row r="72" spans="1:12" ht="15.75">
      <c r="A72" s="1" t="s">
        <v>66</v>
      </c>
      <c r="B72" s="8">
        <f>(744+915+1179)/3</f>
        <v>946</v>
      </c>
      <c r="C72" s="8">
        <v>891</v>
      </c>
      <c r="D72" s="8"/>
      <c r="E72" s="8">
        <f>(10+8+11)/3</f>
        <v>9.666666666666666</v>
      </c>
      <c r="F72" s="8">
        <v>9</v>
      </c>
      <c r="G72" s="8"/>
      <c r="H72" s="8">
        <f>(311+326+310)/3</f>
        <v>315.6666666666667</v>
      </c>
      <c r="I72" s="8">
        <v>287</v>
      </c>
      <c r="J72" s="8"/>
      <c r="K72" s="8">
        <f>(423+581+858)/3</f>
        <v>620.6666666666666</v>
      </c>
      <c r="L72" s="8">
        <v>595</v>
      </c>
    </row>
    <row r="73" spans="1:12" ht="15.75">
      <c r="A73" s="1" t="s">
        <v>67</v>
      </c>
      <c r="B73" s="8">
        <f>(172+200+248)/3</f>
        <v>206.66666666666666</v>
      </c>
      <c r="C73" s="8">
        <v>239</v>
      </c>
      <c r="D73" s="8"/>
      <c r="E73" s="8">
        <f>(0+8+5)/3</f>
        <v>4.333333333333333</v>
      </c>
      <c r="F73" s="7">
        <v>3</v>
      </c>
      <c r="G73" s="8"/>
      <c r="H73" s="8">
        <f>(115+109+116)/3</f>
        <v>113.33333333333333</v>
      </c>
      <c r="I73" s="8">
        <v>123</v>
      </c>
      <c r="J73" s="8"/>
      <c r="K73" s="8">
        <f>(57+83+127)/3</f>
        <v>89</v>
      </c>
      <c r="L73" s="8">
        <v>113</v>
      </c>
    </row>
    <row r="74" spans="1:12" ht="15.75">
      <c r="A74" s="1"/>
      <c r="B74" s="8"/>
      <c r="C74" s="8"/>
      <c r="D74" s="8"/>
      <c r="E74" s="8"/>
      <c r="F74" s="7"/>
      <c r="G74" s="8"/>
      <c r="H74" s="8"/>
      <c r="I74" s="8"/>
      <c r="J74" s="8"/>
      <c r="K74" s="8"/>
      <c r="L74" s="8"/>
    </row>
    <row r="75" spans="1:12" ht="15.75">
      <c r="A75" s="1" t="s">
        <v>71</v>
      </c>
      <c r="B75" s="7">
        <v>0</v>
      </c>
      <c r="C75" s="8">
        <v>616</v>
      </c>
      <c r="D75" s="8"/>
      <c r="E75" s="7">
        <v>0</v>
      </c>
      <c r="F75" s="7">
        <v>0</v>
      </c>
      <c r="G75" s="8"/>
      <c r="H75" s="7">
        <v>0</v>
      </c>
      <c r="I75" s="8">
        <v>129</v>
      </c>
      <c r="J75" s="8"/>
      <c r="K75" s="7">
        <v>0</v>
      </c>
      <c r="L75" s="8">
        <v>487</v>
      </c>
    </row>
    <row r="76" spans="1:12" ht="15.75">
      <c r="A76" s="3"/>
      <c r="B76" s="14"/>
      <c r="C76" s="14" t="s">
        <v>72</v>
      </c>
      <c r="D76" s="14"/>
      <c r="E76" s="14"/>
      <c r="F76" s="14"/>
      <c r="G76" s="14"/>
      <c r="H76" s="14"/>
      <c r="I76" s="14"/>
      <c r="J76" s="14"/>
      <c r="K76" s="14"/>
      <c r="L76" s="14"/>
    </row>
    <row r="77" spans="1:12" ht="47.25" customHeight="1">
      <c r="A77" s="31" t="s">
        <v>94</v>
      </c>
      <c r="B77" s="31"/>
      <c r="C77" s="31"/>
      <c r="D77" s="31"/>
      <c r="E77" s="31"/>
      <c r="F77" s="31"/>
      <c r="G77" s="31"/>
      <c r="H77" s="31"/>
      <c r="I77" s="31"/>
      <c r="J77" s="31"/>
      <c r="K77" s="31"/>
      <c r="L77" s="31"/>
    </row>
    <row r="78" spans="1:12" ht="15.75">
      <c r="A78" s="21"/>
      <c r="B78" s="22"/>
      <c r="C78" s="22"/>
      <c r="D78" s="22"/>
      <c r="E78" s="22"/>
      <c r="F78" s="22"/>
      <c r="G78" s="22"/>
      <c r="H78" s="22"/>
      <c r="I78" s="22"/>
      <c r="J78" s="22"/>
      <c r="K78" s="22"/>
      <c r="L78" s="22"/>
    </row>
    <row r="79" spans="1:12" ht="15.75">
      <c r="A79" s="21" t="s">
        <v>95</v>
      </c>
      <c r="B79" s="22"/>
      <c r="C79" s="22"/>
      <c r="D79" s="22"/>
      <c r="E79" s="22"/>
      <c r="F79" s="22"/>
      <c r="G79" s="22"/>
      <c r="H79" s="22"/>
      <c r="I79" s="22"/>
      <c r="J79" s="22"/>
      <c r="K79" s="22"/>
      <c r="L79" s="22"/>
    </row>
    <row r="80" spans="1:12" ht="15.75">
      <c r="A80" s="21"/>
      <c r="B80" s="21"/>
      <c r="C80" s="21"/>
      <c r="D80" s="21"/>
      <c r="E80" s="21"/>
      <c r="F80" s="21"/>
      <c r="G80" s="21"/>
      <c r="H80" s="21"/>
      <c r="I80" s="21"/>
      <c r="J80" s="21"/>
      <c r="K80" s="21"/>
      <c r="L80" s="21"/>
    </row>
    <row r="81" spans="1:12" ht="15.75">
      <c r="A81" s="21" t="s">
        <v>68</v>
      </c>
      <c r="B81" s="26"/>
      <c r="C81" s="26"/>
      <c r="D81" s="27"/>
      <c r="E81" s="27"/>
      <c r="F81" s="27"/>
      <c r="G81" s="27"/>
      <c r="H81" s="27"/>
      <c r="I81" s="27"/>
      <c r="J81" s="21"/>
      <c r="K81" s="21"/>
      <c r="L81" s="21"/>
    </row>
    <row r="82" spans="1:12" ht="15.75">
      <c r="A82" s="1"/>
      <c r="B82" s="8"/>
      <c r="C82" s="8"/>
      <c r="D82" s="8"/>
      <c r="E82" s="8"/>
      <c r="F82" s="8"/>
      <c r="G82" s="8"/>
      <c r="H82" s="8"/>
      <c r="I82" s="8"/>
      <c r="J82" s="8"/>
      <c r="K82" s="8"/>
      <c r="L82" s="8"/>
    </row>
    <row r="83" spans="1:12" ht="15.75">
      <c r="A83" s="1"/>
      <c r="B83" s="8"/>
      <c r="C83" s="8"/>
      <c r="D83" s="8"/>
      <c r="E83" s="8"/>
      <c r="F83" s="8"/>
      <c r="G83" s="8"/>
      <c r="H83" s="8"/>
      <c r="I83" s="8"/>
      <c r="J83" s="8"/>
      <c r="K83" s="8"/>
      <c r="L83" s="8"/>
    </row>
    <row r="84" spans="1:12" ht="15.75">
      <c r="A84" s="1"/>
      <c r="B84" s="8"/>
      <c r="C84" s="8"/>
      <c r="D84" s="8"/>
      <c r="E84" s="8"/>
      <c r="F84" s="8"/>
      <c r="G84" s="8"/>
      <c r="H84" s="8"/>
      <c r="I84" s="8"/>
      <c r="J84" s="8"/>
      <c r="K84" s="8"/>
      <c r="L84" s="8"/>
    </row>
    <row r="85" spans="1:12" ht="15.75">
      <c r="A85" s="1"/>
      <c r="B85" s="8"/>
      <c r="C85" s="8"/>
      <c r="D85" s="8"/>
      <c r="E85" s="8"/>
      <c r="F85" s="8"/>
      <c r="G85" s="8"/>
      <c r="H85" s="8"/>
      <c r="I85" s="8"/>
      <c r="J85" s="8"/>
      <c r="K85" s="8"/>
      <c r="L85" s="8"/>
    </row>
    <row r="86" spans="1:12" ht="15.75">
      <c r="A86" s="1"/>
      <c r="B86" s="8"/>
      <c r="C86" s="8"/>
      <c r="D86" s="8"/>
      <c r="E86" s="8"/>
      <c r="F86" s="8"/>
      <c r="G86" s="8"/>
      <c r="H86" s="8"/>
      <c r="I86" s="8"/>
      <c r="J86" s="8"/>
      <c r="K86" s="8"/>
      <c r="L86" s="8"/>
    </row>
    <row r="87" spans="1:12" ht="15.75">
      <c r="A87" s="1"/>
      <c r="B87" s="1"/>
      <c r="C87" s="1"/>
      <c r="D87" s="1"/>
      <c r="E87" s="1"/>
      <c r="F87" s="1"/>
      <c r="G87" s="1"/>
      <c r="H87" s="1"/>
      <c r="I87" s="1"/>
      <c r="J87" s="1"/>
      <c r="K87" s="1"/>
      <c r="L87" s="1"/>
    </row>
    <row r="88" spans="1:12" ht="15.75">
      <c r="A88" s="1"/>
      <c r="B88" s="1"/>
      <c r="C88" s="1"/>
      <c r="D88" s="1"/>
      <c r="E88" s="1"/>
      <c r="F88" s="1"/>
      <c r="G88" s="1"/>
      <c r="H88" s="1"/>
      <c r="I88" s="1"/>
      <c r="J88" s="1"/>
      <c r="K88" s="1"/>
      <c r="L88" s="1"/>
    </row>
    <row r="89" spans="1:12" ht="15.75">
      <c r="A89" s="1"/>
      <c r="B89" s="1"/>
      <c r="C89" s="1"/>
      <c r="D89" s="1"/>
      <c r="E89" s="1"/>
      <c r="F89" s="1"/>
      <c r="G89" s="1"/>
      <c r="H89" s="1"/>
      <c r="I89" s="1"/>
      <c r="J89" s="1"/>
      <c r="K89" s="1"/>
      <c r="L89" s="1"/>
    </row>
    <row r="90" spans="1:12" ht="15.75">
      <c r="A90" s="1"/>
      <c r="B90" s="9"/>
      <c r="C90" s="9"/>
      <c r="D90" s="11"/>
      <c r="E90" s="11"/>
      <c r="F90" s="11"/>
      <c r="G90" s="11"/>
      <c r="H90" s="11"/>
      <c r="I90" s="11"/>
      <c r="J90" s="1"/>
      <c r="K90" s="1"/>
      <c r="L90" s="1"/>
    </row>
    <row r="91" spans="1:12" ht="15.75">
      <c r="A91" s="1"/>
      <c r="B91" s="9"/>
      <c r="C91" s="9"/>
      <c r="D91" s="11"/>
      <c r="E91" s="11"/>
      <c r="F91" s="11"/>
      <c r="G91" s="11"/>
      <c r="H91" s="11"/>
      <c r="I91" s="11"/>
      <c r="J91" s="1"/>
      <c r="K91" s="1"/>
      <c r="L91" s="1"/>
    </row>
    <row r="92" spans="1:12" ht="15.75">
      <c r="A92" s="1"/>
      <c r="B92" s="9"/>
      <c r="C92" s="9"/>
      <c r="D92" s="11"/>
      <c r="E92" s="11"/>
      <c r="F92" s="11"/>
      <c r="G92" s="11"/>
      <c r="H92" s="11"/>
      <c r="I92" s="11"/>
      <c r="J92" s="1"/>
      <c r="K92" s="1"/>
      <c r="L92" s="1"/>
    </row>
    <row r="93" spans="1:12" ht="15.75">
      <c r="A93" s="1"/>
      <c r="B93" s="9"/>
      <c r="C93" s="9"/>
      <c r="D93" s="11"/>
      <c r="E93" s="11"/>
      <c r="F93" s="11"/>
      <c r="G93" s="11"/>
      <c r="H93" s="11"/>
      <c r="I93" s="11"/>
      <c r="J93" s="1"/>
      <c r="K93" s="1"/>
      <c r="L93" s="1"/>
    </row>
  </sheetData>
  <sheetProtection/>
  <mergeCells count="5">
    <mergeCell ref="B4:C4"/>
    <mergeCell ref="E4:F4"/>
    <mergeCell ref="H4:I4"/>
    <mergeCell ref="K4:L4"/>
    <mergeCell ref="A77:L7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82"/>
  <sheetViews>
    <sheetView zoomScalePageLayoutView="0" workbookViewId="0" topLeftCell="A1">
      <selection activeCell="A1" sqref="A1"/>
    </sheetView>
  </sheetViews>
  <sheetFormatPr defaultColWidth="8.88671875" defaultRowHeight="15.75"/>
  <cols>
    <col min="1" max="1" width="25.77734375" style="0" customWidth="1"/>
    <col min="2" max="3" width="10.77734375" style="0" customWidth="1"/>
    <col min="4" max="4" width="2.77734375" style="0" customWidth="1"/>
    <col min="5" max="6" width="10.77734375" style="0" customWidth="1"/>
    <col min="7" max="7" width="2.77734375" style="0" customWidth="1"/>
    <col min="8" max="9" width="10.77734375" style="0" customWidth="1"/>
    <col min="10" max="10" width="2.77734375" style="0" customWidth="1"/>
    <col min="11" max="16384" width="10.77734375" style="0" customWidth="1"/>
  </cols>
  <sheetData>
    <row r="1" spans="1:12" ht="20.25">
      <c r="A1" s="12" t="s">
        <v>0</v>
      </c>
      <c r="B1" s="1"/>
      <c r="C1" s="2"/>
      <c r="D1" s="1"/>
      <c r="E1" s="1"/>
      <c r="F1" s="1"/>
      <c r="G1" s="1"/>
      <c r="H1" s="1"/>
      <c r="I1" s="1"/>
      <c r="J1" s="1"/>
      <c r="K1" s="1"/>
      <c r="L1" s="1"/>
    </row>
    <row r="2" spans="1:12" ht="20.25">
      <c r="A2" s="12" t="s">
        <v>105</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103</v>
      </c>
      <c r="C4" s="30"/>
      <c r="D4" s="3"/>
      <c r="E4" s="30" t="s">
        <v>69</v>
      </c>
      <c r="F4" s="30"/>
      <c r="G4" s="3"/>
      <c r="H4" s="30" t="s">
        <v>70</v>
      </c>
      <c r="I4" s="30"/>
      <c r="J4" s="3"/>
      <c r="K4" s="30" t="s">
        <v>92</v>
      </c>
      <c r="L4" s="30"/>
    </row>
    <row r="5" spans="1:12" ht="29.25">
      <c r="A5" s="4" t="s">
        <v>1</v>
      </c>
      <c r="B5" s="17" t="s">
        <v>106</v>
      </c>
      <c r="C5" s="5">
        <v>2000</v>
      </c>
      <c r="D5" s="4"/>
      <c r="E5" s="17" t="s">
        <v>106</v>
      </c>
      <c r="F5" s="5">
        <v>2000</v>
      </c>
      <c r="G5" s="4"/>
      <c r="H5" s="17" t="s">
        <v>106</v>
      </c>
      <c r="I5" s="5">
        <v>2000</v>
      </c>
      <c r="J5" s="4"/>
      <c r="K5" s="17" t="s">
        <v>106</v>
      </c>
      <c r="L5" s="5">
        <v>2000</v>
      </c>
    </row>
    <row r="6" spans="1:12" ht="15.75">
      <c r="A6" s="1"/>
      <c r="B6" s="1"/>
      <c r="C6" s="2"/>
      <c r="D6" s="1"/>
      <c r="E6" s="1"/>
      <c r="F6" s="1"/>
      <c r="G6" s="1"/>
      <c r="H6" s="6"/>
      <c r="I6" s="1"/>
      <c r="J6" s="1"/>
      <c r="K6" s="1"/>
      <c r="L6" s="1"/>
    </row>
    <row r="7" spans="1:13" ht="15.75">
      <c r="A7" s="1" t="s">
        <v>2</v>
      </c>
      <c r="B7" s="8">
        <f>+B9+B16</f>
        <v>309039.3333333334</v>
      </c>
      <c r="C7" s="8">
        <f>+C9+C16</f>
        <v>392246</v>
      </c>
      <c r="D7" s="8" t="s">
        <v>3</v>
      </c>
      <c r="E7" s="8">
        <f>+E9+E16</f>
        <v>1447.666666666667</v>
      </c>
      <c r="F7" s="8">
        <f>+F9+F16</f>
        <v>1358</v>
      </c>
      <c r="G7" s="8"/>
      <c r="H7" s="8">
        <f>+H9+H16</f>
        <v>182353.3333333333</v>
      </c>
      <c r="I7" s="8">
        <f>+I9+I16</f>
        <v>188771</v>
      </c>
      <c r="J7" s="8"/>
      <c r="K7" s="8">
        <f>+K9+K16</f>
        <v>125238.33333333336</v>
      </c>
      <c r="L7" s="8">
        <f>+L9+L16</f>
        <v>202117</v>
      </c>
      <c r="M7" s="8"/>
    </row>
    <row r="8" spans="1:13" ht="15.75">
      <c r="A8" s="1"/>
      <c r="B8" s="8"/>
      <c r="C8" s="8"/>
      <c r="D8" s="8"/>
      <c r="E8" s="8"/>
      <c r="F8" s="8"/>
      <c r="G8" s="8" t="s">
        <v>3</v>
      </c>
      <c r="H8" s="8"/>
      <c r="I8" s="8"/>
      <c r="J8" s="8" t="s">
        <v>3</v>
      </c>
      <c r="K8" s="8"/>
      <c r="L8" s="8"/>
      <c r="M8" s="8"/>
    </row>
    <row r="9" spans="1:13" ht="15.75">
      <c r="A9" s="1" t="s">
        <v>4</v>
      </c>
      <c r="B9" s="8">
        <f>SUM(B10:B14)</f>
        <v>101572</v>
      </c>
      <c r="C9" s="8">
        <f>SUM(C10:C14)</f>
        <v>125550</v>
      </c>
      <c r="D9" s="8" t="s">
        <v>3</v>
      </c>
      <c r="E9" s="8">
        <f>SUM(E10:E14)</f>
        <v>384.33333333333337</v>
      </c>
      <c r="F9" s="8">
        <f>SUM(F10:F14)</f>
        <v>348</v>
      </c>
      <c r="G9" s="8"/>
      <c r="H9" s="8">
        <f>SUM(H10:H14)</f>
        <v>79796</v>
      </c>
      <c r="I9" s="8">
        <f>SUM(I10:I14)</f>
        <v>83273</v>
      </c>
      <c r="J9" s="8"/>
      <c r="K9" s="8">
        <f>SUM(K10:K14)</f>
        <v>21391.666666666668</v>
      </c>
      <c r="L9" s="8">
        <f>SUM(L10:L14)</f>
        <v>41929</v>
      </c>
      <c r="M9" s="8"/>
    </row>
    <row r="10" spans="1:13" ht="15.75">
      <c r="A10" s="1" t="s">
        <v>5</v>
      </c>
      <c r="B10" s="8">
        <v>14778.666666666666</v>
      </c>
      <c r="C10" s="8">
        <v>19953</v>
      </c>
      <c r="D10" s="8"/>
      <c r="E10" s="8">
        <v>60</v>
      </c>
      <c r="F10" s="8">
        <v>49</v>
      </c>
      <c r="G10" s="8"/>
      <c r="H10" s="8">
        <v>11311.666666666666</v>
      </c>
      <c r="I10" s="8">
        <v>13194</v>
      </c>
      <c r="J10" s="8"/>
      <c r="K10" s="8">
        <v>3407</v>
      </c>
      <c r="L10" s="8">
        <v>6710</v>
      </c>
      <c r="M10" s="8"/>
    </row>
    <row r="11" spans="1:13" ht="15.75">
      <c r="A11" s="1" t="s">
        <v>6</v>
      </c>
      <c r="B11" s="8">
        <v>31544</v>
      </c>
      <c r="C11" s="8">
        <v>38152</v>
      </c>
      <c r="D11" s="8"/>
      <c r="E11" s="8">
        <v>121</v>
      </c>
      <c r="F11" s="8">
        <v>105</v>
      </c>
      <c r="G11" s="8"/>
      <c r="H11" s="8">
        <v>26263.666666666668</v>
      </c>
      <c r="I11" s="8">
        <v>27191</v>
      </c>
      <c r="J11" s="8"/>
      <c r="K11" s="8">
        <v>5159.333333333333</v>
      </c>
      <c r="L11" s="8">
        <v>10856</v>
      </c>
      <c r="M11" s="8"/>
    </row>
    <row r="12" spans="1:13" ht="15.75">
      <c r="A12" s="1" t="s">
        <v>7</v>
      </c>
      <c r="B12" s="8">
        <v>19954.333333333332</v>
      </c>
      <c r="C12" s="8">
        <v>24609</v>
      </c>
      <c r="D12" s="8"/>
      <c r="E12" s="8">
        <v>68.66666666666667</v>
      </c>
      <c r="F12" s="8">
        <v>70</v>
      </c>
      <c r="G12" s="8"/>
      <c r="H12" s="8">
        <v>15211</v>
      </c>
      <c r="I12" s="8">
        <v>14624</v>
      </c>
      <c r="J12" s="8"/>
      <c r="K12" s="8">
        <v>4674.666666666667</v>
      </c>
      <c r="L12" s="8">
        <v>9915</v>
      </c>
      <c r="M12" s="8"/>
    </row>
    <row r="13" spans="1:13" ht="15.75">
      <c r="A13" s="1" t="s">
        <v>8</v>
      </c>
      <c r="B13" s="8">
        <v>29887</v>
      </c>
      <c r="C13" s="8">
        <v>36578</v>
      </c>
      <c r="D13" s="8"/>
      <c r="E13" s="8">
        <v>117.66666666666667</v>
      </c>
      <c r="F13" s="8">
        <v>100</v>
      </c>
      <c r="G13" s="8"/>
      <c r="H13" s="8">
        <v>22961.333333333332</v>
      </c>
      <c r="I13" s="8">
        <v>24459</v>
      </c>
      <c r="J13" s="8"/>
      <c r="K13" s="8">
        <v>6808</v>
      </c>
      <c r="L13" s="8">
        <v>12019</v>
      </c>
      <c r="M13" s="8"/>
    </row>
    <row r="14" spans="1:13" ht="15.75">
      <c r="A14" s="1" t="s">
        <v>9</v>
      </c>
      <c r="B14" s="8">
        <v>5408</v>
      </c>
      <c r="C14" s="8">
        <v>6258</v>
      </c>
      <c r="D14" s="8"/>
      <c r="E14" s="8">
        <v>17</v>
      </c>
      <c r="F14" s="8">
        <v>24</v>
      </c>
      <c r="G14" s="8"/>
      <c r="H14" s="8">
        <v>4048.3333333333335</v>
      </c>
      <c r="I14" s="8">
        <v>3805</v>
      </c>
      <c r="J14" s="8"/>
      <c r="K14" s="8">
        <v>1342.6666666666667</v>
      </c>
      <c r="L14" s="8">
        <v>2429</v>
      </c>
      <c r="M14" s="8"/>
    </row>
    <row r="15" spans="1:13" ht="15.75">
      <c r="A15" s="1"/>
      <c r="B15" s="8"/>
      <c r="C15" s="8"/>
      <c r="D15" s="8"/>
      <c r="E15" s="8"/>
      <c r="F15" s="8"/>
      <c r="G15" s="8"/>
      <c r="H15" s="8"/>
      <c r="I15" s="8"/>
      <c r="J15" s="8"/>
      <c r="K15" s="8"/>
      <c r="L15" s="8"/>
      <c r="M15" s="8"/>
    </row>
    <row r="16" spans="1:13" ht="15.75">
      <c r="A16" s="1" t="s">
        <v>10</v>
      </c>
      <c r="B16" s="8">
        <f>SUM(B17:B73)</f>
        <v>207467.33333333334</v>
      </c>
      <c r="C16" s="8">
        <f>SUM(C17:C73)</f>
        <v>266696</v>
      </c>
      <c r="D16" s="8" t="s">
        <v>3</v>
      </c>
      <c r="E16" s="8">
        <f>SUM(E17:E73)</f>
        <v>1063.3333333333335</v>
      </c>
      <c r="F16" s="8">
        <f>SUM(F17:F73)</f>
        <v>1010</v>
      </c>
      <c r="G16" s="8"/>
      <c r="H16" s="8">
        <f>SUM(H17:H73)</f>
        <v>102557.33333333333</v>
      </c>
      <c r="I16" s="8">
        <f>SUM(I17:I73)</f>
        <v>105498</v>
      </c>
      <c r="J16" s="8"/>
      <c r="K16" s="8">
        <f>SUM(K17:K73)</f>
        <v>103846.66666666669</v>
      </c>
      <c r="L16" s="8">
        <f>SUM(L17:L73)</f>
        <v>160188</v>
      </c>
      <c r="M16" s="8"/>
    </row>
    <row r="17" spans="1:13" ht="15.75">
      <c r="A17" s="1" t="s">
        <v>11</v>
      </c>
      <c r="B17" s="8">
        <v>6327</v>
      </c>
      <c r="C17" s="8">
        <v>8501</v>
      </c>
      <c r="D17" s="8"/>
      <c r="E17" s="8">
        <v>18</v>
      </c>
      <c r="F17" s="8">
        <v>23</v>
      </c>
      <c r="G17" s="8"/>
      <c r="H17" s="8">
        <v>3052</v>
      </c>
      <c r="I17" s="8">
        <v>3138</v>
      </c>
      <c r="J17" s="8"/>
      <c r="K17" s="8">
        <v>3257</v>
      </c>
      <c r="L17" s="8">
        <v>5340</v>
      </c>
      <c r="M17" s="8"/>
    </row>
    <row r="18" spans="1:13" ht="15.75">
      <c r="A18" s="1" t="s">
        <v>12</v>
      </c>
      <c r="B18" s="8">
        <v>725.3333333333334</v>
      </c>
      <c r="C18" s="8">
        <v>890</v>
      </c>
      <c r="D18" s="8"/>
      <c r="E18" s="8">
        <v>8.333333333333334</v>
      </c>
      <c r="F18" s="8">
        <v>4</v>
      </c>
      <c r="G18" s="8"/>
      <c r="H18" s="8">
        <v>325</v>
      </c>
      <c r="I18" s="8">
        <v>297</v>
      </c>
      <c r="J18" s="8"/>
      <c r="K18" s="8">
        <v>392</v>
      </c>
      <c r="L18" s="8">
        <v>589</v>
      </c>
      <c r="M18" s="8"/>
    </row>
    <row r="19" spans="1:13" ht="15.75">
      <c r="A19" s="1" t="s">
        <v>13</v>
      </c>
      <c r="B19" s="8">
        <v>3622.3333333333335</v>
      </c>
      <c r="C19" s="8">
        <v>4970</v>
      </c>
      <c r="D19" s="8"/>
      <c r="E19" s="8">
        <v>19</v>
      </c>
      <c r="F19" s="8">
        <v>19</v>
      </c>
      <c r="G19" s="8"/>
      <c r="H19" s="8">
        <v>1667.3333333333333</v>
      </c>
      <c r="I19" s="8">
        <v>1854</v>
      </c>
      <c r="J19" s="8"/>
      <c r="K19" s="8">
        <v>1936</v>
      </c>
      <c r="L19" s="8">
        <v>3097</v>
      </c>
      <c r="M19" s="8"/>
    </row>
    <row r="20" spans="1:13" ht="15.75">
      <c r="A20" s="1" t="s">
        <v>14</v>
      </c>
      <c r="B20" s="8">
        <v>1114.6666666666667</v>
      </c>
      <c r="C20" s="8">
        <v>1606</v>
      </c>
      <c r="D20" s="8"/>
      <c r="E20" s="8">
        <v>12</v>
      </c>
      <c r="F20" s="8">
        <v>13</v>
      </c>
      <c r="G20" s="8"/>
      <c r="H20" s="8">
        <v>630.3333333333334</v>
      </c>
      <c r="I20" s="8">
        <v>648</v>
      </c>
      <c r="J20" s="8"/>
      <c r="K20" s="8">
        <v>472.3333333333333</v>
      </c>
      <c r="L20" s="8">
        <v>945</v>
      </c>
      <c r="M20" s="8"/>
    </row>
    <row r="21" spans="1:13" ht="15.75">
      <c r="A21" s="1" t="s">
        <v>15</v>
      </c>
      <c r="B21" s="8">
        <v>1255.3333333333333</v>
      </c>
      <c r="C21" s="8">
        <v>1717</v>
      </c>
      <c r="D21" s="8"/>
      <c r="E21" s="8">
        <v>11.333333333333334</v>
      </c>
      <c r="F21" s="8">
        <v>10</v>
      </c>
      <c r="G21" s="8"/>
      <c r="H21" s="8">
        <v>633.6666666666666</v>
      </c>
      <c r="I21" s="8">
        <v>680</v>
      </c>
      <c r="J21" s="8"/>
      <c r="K21" s="8">
        <v>610.3333333333334</v>
      </c>
      <c r="L21" s="8">
        <v>1027</v>
      </c>
      <c r="M21" s="8"/>
    </row>
    <row r="22" spans="1:13" ht="15.75">
      <c r="A22" s="1" t="s">
        <v>16</v>
      </c>
      <c r="B22" s="8">
        <v>2475.3333333333335</v>
      </c>
      <c r="C22" s="8">
        <v>3444</v>
      </c>
      <c r="D22" s="8"/>
      <c r="E22" s="8">
        <v>17.666666666666668</v>
      </c>
      <c r="F22" s="8">
        <v>18</v>
      </c>
      <c r="G22" s="8"/>
      <c r="H22" s="8">
        <v>1090.3333333333333</v>
      </c>
      <c r="I22" s="8">
        <v>1091</v>
      </c>
      <c r="J22" s="8"/>
      <c r="K22" s="8">
        <v>1367.3333333333333</v>
      </c>
      <c r="L22" s="8">
        <v>2335</v>
      </c>
      <c r="M22" s="8"/>
    </row>
    <row r="23" spans="1:13" ht="15.75">
      <c r="A23" s="1" t="s">
        <v>17</v>
      </c>
      <c r="B23" s="8">
        <v>1263.6666666666667</v>
      </c>
      <c r="C23" s="8">
        <v>1652</v>
      </c>
      <c r="D23" s="8"/>
      <c r="E23" s="8">
        <v>9.666666666666666</v>
      </c>
      <c r="F23" s="8">
        <v>6</v>
      </c>
      <c r="G23" s="8"/>
      <c r="H23" s="8">
        <v>679</v>
      </c>
      <c r="I23" s="8">
        <v>690</v>
      </c>
      <c r="J23" s="8"/>
      <c r="K23" s="8">
        <v>575</v>
      </c>
      <c r="L23" s="8">
        <v>956</v>
      </c>
      <c r="M23" s="8"/>
    </row>
    <row r="24" spans="1:13" ht="15.75">
      <c r="A24" s="1" t="s">
        <v>18</v>
      </c>
      <c r="B24" s="8">
        <v>933</v>
      </c>
      <c r="C24" s="8">
        <v>1250</v>
      </c>
      <c r="D24" s="8"/>
      <c r="E24" s="8">
        <v>8</v>
      </c>
      <c r="F24" s="8">
        <v>9</v>
      </c>
      <c r="G24" s="8"/>
      <c r="H24" s="8">
        <v>400</v>
      </c>
      <c r="I24" s="8">
        <v>413</v>
      </c>
      <c r="J24" s="8"/>
      <c r="K24" s="8">
        <v>525</v>
      </c>
      <c r="L24" s="8">
        <v>828</v>
      </c>
      <c r="M24" s="8"/>
    </row>
    <row r="25" spans="1:13" ht="15.75">
      <c r="A25" s="1" t="s">
        <v>19</v>
      </c>
      <c r="B25" s="8">
        <v>1241.3333333333333</v>
      </c>
      <c r="C25" s="8">
        <v>1940</v>
      </c>
      <c r="D25" s="8"/>
      <c r="E25" s="8">
        <v>11.333333333333334</v>
      </c>
      <c r="F25" s="8">
        <v>15</v>
      </c>
      <c r="G25" s="8"/>
      <c r="H25" s="8">
        <v>607.3333333333334</v>
      </c>
      <c r="I25" s="8">
        <v>603</v>
      </c>
      <c r="J25" s="8"/>
      <c r="K25" s="8">
        <v>622.6666666666666</v>
      </c>
      <c r="L25" s="8">
        <v>1322</v>
      </c>
      <c r="M25" s="8"/>
    </row>
    <row r="26" spans="1:13" ht="15.75">
      <c r="A26" s="1" t="s">
        <v>20</v>
      </c>
      <c r="B26" s="8">
        <v>1265.6666666666667</v>
      </c>
      <c r="C26" s="8">
        <v>1492</v>
      </c>
      <c r="D26" s="8"/>
      <c r="E26" s="8">
        <v>11.666666666666666</v>
      </c>
      <c r="F26" s="8">
        <v>11</v>
      </c>
      <c r="G26" s="8"/>
      <c r="H26" s="8">
        <v>559.3333333333334</v>
      </c>
      <c r="I26" s="8">
        <v>485</v>
      </c>
      <c r="J26" s="8"/>
      <c r="K26" s="8">
        <v>694.6666666666666</v>
      </c>
      <c r="L26" s="8">
        <v>996</v>
      </c>
      <c r="M26" s="8"/>
    </row>
    <row r="27" spans="1:13" ht="15.75">
      <c r="A27" s="1" t="s">
        <v>21</v>
      </c>
      <c r="B27" s="8">
        <v>1083</v>
      </c>
      <c r="C27" s="8">
        <v>1326</v>
      </c>
      <c r="D27" s="8"/>
      <c r="E27" s="8">
        <v>7.666666666666667</v>
      </c>
      <c r="F27" s="8">
        <v>3</v>
      </c>
      <c r="G27" s="8"/>
      <c r="H27" s="8">
        <v>420</v>
      </c>
      <c r="I27" s="8">
        <v>384</v>
      </c>
      <c r="J27" s="8"/>
      <c r="K27" s="8">
        <v>655.3333333333334</v>
      </c>
      <c r="L27" s="8">
        <v>939</v>
      </c>
      <c r="M27" s="8"/>
    </row>
    <row r="28" spans="1:13" ht="15.75">
      <c r="A28" s="1" t="s">
        <v>22</v>
      </c>
      <c r="B28" s="8">
        <v>919.3333333333334</v>
      </c>
      <c r="C28" s="8">
        <v>1226</v>
      </c>
      <c r="D28" s="8"/>
      <c r="E28" s="8">
        <v>8.333333333333334</v>
      </c>
      <c r="F28" s="8">
        <v>14</v>
      </c>
      <c r="G28" s="8"/>
      <c r="H28" s="8">
        <v>399.6666666666667</v>
      </c>
      <c r="I28" s="8">
        <v>420</v>
      </c>
      <c r="J28" s="8"/>
      <c r="K28" s="8">
        <v>511.3333333333333</v>
      </c>
      <c r="L28" s="8">
        <v>792</v>
      </c>
      <c r="M28" s="8"/>
    </row>
    <row r="29" spans="1:13" ht="15.75">
      <c r="A29" s="1" t="s">
        <v>23</v>
      </c>
      <c r="B29" s="8">
        <v>5708.333333333333</v>
      </c>
      <c r="C29" s="8">
        <v>7041</v>
      </c>
      <c r="D29" s="8"/>
      <c r="E29" s="8">
        <v>29</v>
      </c>
      <c r="F29" s="8">
        <v>29</v>
      </c>
      <c r="G29" s="8"/>
      <c r="H29" s="8">
        <v>2764.3333333333335</v>
      </c>
      <c r="I29" s="8">
        <v>2755</v>
      </c>
      <c r="J29" s="8"/>
      <c r="K29" s="8">
        <v>2915</v>
      </c>
      <c r="L29" s="8">
        <v>4257</v>
      </c>
      <c r="M29" s="8"/>
    </row>
    <row r="30" spans="1:13" ht="15.75">
      <c r="A30" s="1" t="s">
        <v>24</v>
      </c>
      <c r="B30" s="8">
        <v>13655</v>
      </c>
      <c r="C30" s="8">
        <v>16917</v>
      </c>
      <c r="D30" s="8"/>
      <c r="E30" s="8">
        <v>75.66666666666667</v>
      </c>
      <c r="F30" s="8">
        <v>63</v>
      </c>
      <c r="G30" s="8"/>
      <c r="H30" s="8">
        <v>7869.666666666667</v>
      </c>
      <c r="I30" s="8">
        <v>8324</v>
      </c>
      <c r="J30" s="8"/>
      <c r="K30" s="8">
        <v>5709.666666666667</v>
      </c>
      <c r="L30" s="8">
        <v>8530</v>
      </c>
      <c r="M30" s="8"/>
    </row>
    <row r="31" spans="1:13" ht="15.75">
      <c r="A31" s="1" t="s">
        <v>25</v>
      </c>
      <c r="B31" s="8">
        <v>712</v>
      </c>
      <c r="C31" s="8">
        <v>1033</v>
      </c>
      <c r="D31" s="8"/>
      <c r="E31" s="8">
        <v>4.666666666666667</v>
      </c>
      <c r="F31" s="8">
        <v>9</v>
      </c>
      <c r="G31" s="8"/>
      <c r="H31" s="8">
        <v>338.6666666666667</v>
      </c>
      <c r="I31" s="8">
        <v>324</v>
      </c>
      <c r="J31" s="8"/>
      <c r="K31" s="8">
        <v>368.6666666666667</v>
      </c>
      <c r="L31" s="8">
        <v>700</v>
      </c>
      <c r="M31" s="8"/>
    </row>
    <row r="32" spans="1:13" ht="15.75">
      <c r="A32" s="1" t="s">
        <v>26</v>
      </c>
      <c r="B32" s="8">
        <v>799.3333333333334</v>
      </c>
      <c r="C32" s="8">
        <v>1150</v>
      </c>
      <c r="D32" s="8"/>
      <c r="E32" s="8">
        <v>5.333333333333333</v>
      </c>
      <c r="F32" s="8">
        <v>9</v>
      </c>
      <c r="G32" s="8"/>
      <c r="H32" s="8">
        <v>377.3333333333333</v>
      </c>
      <c r="I32" s="8">
        <v>353</v>
      </c>
      <c r="J32" s="8"/>
      <c r="K32" s="8">
        <v>416.6666666666667</v>
      </c>
      <c r="L32" s="8">
        <v>788</v>
      </c>
      <c r="M32" s="8"/>
    </row>
    <row r="33" spans="1:13" ht="15.75">
      <c r="A33" s="1" t="s">
        <v>27</v>
      </c>
      <c r="B33" s="8">
        <v>946</v>
      </c>
      <c r="C33" s="8">
        <v>1376</v>
      </c>
      <c r="D33" s="8"/>
      <c r="E33" s="8">
        <v>3.6666666666666665</v>
      </c>
      <c r="F33" s="8">
        <v>2</v>
      </c>
      <c r="G33" s="8"/>
      <c r="H33" s="8">
        <v>462.6666666666667</v>
      </c>
      <c r="I33" s="8">
        <v>476</v>
      </c>
      <c r="J33" s="8"/>
      <c r="K33" s="8">
        <v>479.6666666666667</v>
      </c>
      <c r="L33" s="8">
        <v>898</v>
      </c>
      <c r="M33" s="8"/>
    </row>
    <row r="34" spans="1:13" ht="15.75">
      <c r="A34" s="1" t="s">
        <v>28</v>
      </c>
      <c r="B34" s="8">
        <v>1522.3333333333333</v>
      </c>
      <c r="C34" s="8">
        <v>1895</v>
      </c>
      <c r="D34" s="8"/>
      <c r="E34" s="8">
        <v>12.666666666666666</v>
      </c>
      <c r="F34" s="8">
        <v>11</v>
      </c>
      <c r="G34" s="8"/>
      <c r="H34" s="8">
        <v>594.3333333333334</v>
      </c>
      <c r="I34" s="8">
        <v>626</v>
      </c>
      <c r="J34" s="8"/>
      <c r="K34" s="8">
        <v>915.3333333333334</v>
      </c>
      <c r="L34" s="8">
        <v>1258</v>
      </c>
      <c r="M34" s="8"/>
    </row>
    <row r="35" spans="1:13" ht="15.75">
      <c r="A35" s="1" t="s">
        <v>29</v>
      </c>
      <c r="B35" s="8">
        <v>879.3333333333334</v>
      </c>
      <c r="C35" s="8">
        <v>1168</v>
      </c>
      <c r="D35" s="8"/>
      <c r="E35" s="8">
        <v>11.333333333333334</v>
      </c>
      <c r="F35" s="8">
        <v>7</v>
      </c>
      <c r="G35" s="8"/>
      <c r="H35" s="8">
        <v>398</v>
      </c>
      <c r="I35" s="8">
        <v>392</v>
      </c>
      <c r="J35" s="8"/>
      <c r="K35" s="8">
        <v>470</v>
      </c>
      <c r="L35" s="8">
        <v>769</v>
      </c>
      <c r="M35" s="8"/>
    </row>
    <row r="36" spans="1:13" ht="15.75">
      <c r="A36" s="1" t="s">
        <v>30</v>
      </c>
      <c r="B36" s="8">
        <v>143.33333333333334</v>
      </c>
      <c r="C36" s="8">
        <v>206</v>
      </c>
      <c r="D36" s="8"/>
      <c r="E36" s="7">
        <v>1.3333333333333333</v>
      </c>
      <c r="F36" s="7">
        <v>2</v>
      </c>
      <c r="G36" s="8"/>
      <c r="H36" s="8">
        <v>52.333333333333336</v>
      </c>
      <c r="I36" s="8">
        <v>62</v>
      </c>
      <c r="J36" s="8"/>
      <c r="K36" s="8">
        <v>89.66666666666667</v>
      </c>
      <c r="L36" s="8">
        <v>142</v>
      </c>
      <c r="M36" s="8"/>
    </row>
    <row r="37" spans="1:13" ht="15.75">
      <c r="A37" s="1" t="s">
        <v>31</v>
      </c>
      <c r="B37" s="8">
        <v>905.6666666666666</v>
      </c>
      <c r="C37" s="8">
        <v>1302</v>
      </c>
      <c r="D37" s="8"/>
      <c r="E37" s="8">
        <v>5.666666666666667</v>
      </c>
      <c r="F37" s="8">
        <v>10</v>
      </c>
      <c r="G37" s="8"/>
      <c r="H37" s="8">
        <v>435.3333333333333</v>
      </c>
      <c r="I37" s="8">
        <v>463</v>
      </c>
      <c r="J37" s="8"/>
      <c r="K37" s="8">
        <v>464.6666666666667</v>
      </c>
      <c r="L37" s="8">
        <v>829</v>
      </c>
      <c r="M37" s="8"/>
    </row>
    <row r="38" spans="1:13" ht="15.75">
      <c r="A38" s="1" t="s">
        <v>32</v>
      </c>
      <c r="B38" s="8">
        <v>1803</v>
      </c>
      <c r="C38" s="8">
        <v>2370</v>
      </c>
      <c r="D38" s="8"/>
      <c r="E38" s="8">
        <v>10</v>
      </c>
      <c r="F38" s="8">
        <v>13</v>
      </c>
      <c r="G38" s="8"/>
      <c r="H38" s="8">
        <v>827.3333333333334</v>
      </c>
      <c r="I38" s="8">
        <v>756</v>
      </c>
      <c r="J38" s="8"/>
      <c r="K38" s="8">
        <v>965.6666666666666</v>
      </c>
      <c r="L38" s="8">
        <v>1601</v>
      </c>
      <c r="M38" s="8"/>
    </row>
    <row r="39" spans="1:13" ht="15.75">
      <c r="A39" s="1" t="s">
        <v>33</v>
      </c>
      <c r="B39" s="8">
        <v>466.3333333333333</v>
      </c>
      <c r="C39" s="8">
        <v>656</v>
      </c>
      <c r="D39" s="8"/>
      <c r="E39" s="8">
        <v>5</v>
      </c>
      <c r="F39" s="8">
        <v>6</v>
      </c>
      <c r="G39" s="8"/>
      <c r="H39" s="8">
        <v>174.33333333333334</v>
      </c>
      <c r="I39" s="8">
        <v>183</v>
      </c>
      <c r="J39" s="8"/>
      <c r="K39" s="8">
        <v>287</v>
      </c>
      <c r="L39" s="8">
        <v>467</v>
      </c>
      <c r="M39" s="8"/>
    </row>
    <row r="40" spans="1:13" ht="15.75">
      <c r="A40" s="1" t="s">
        <v>34</v>
      </c>
      <c r="B40" s="8">
        <v>1279</v>
      </c>
      <c r="C40" s="8">
        <v>1683</v>
      </c>
      <c r="D40" s="8"/>
      <c r="E40" s="8">
        <v>6.333333333333333</v>
      </c>
      <c r="F40" s="8">
        <v>8</v>
      </c>
      <c r="G40" s="8"/>
      <c r="H40" s="8">
        <v>445</v>
      </c>
      <c r="I40" s="8">
        <v>454</v>
      </c>
      <c r="J40" s="8"/>
      <c r="K40" s="8">
        <v>827.6666666666666</v>
      </c>
      <c r="L40" s="8">
        <v>1221</v>
      </c>
      <c r="M40" s="8"/>
    </row>
    <row r="41" spans="1:13" ht="15.75">
      <c r="A41" s="1" t="s">
        <v>35</v>
      </c>
      <c r="B41" s="8">
        <v>1190.3333333333333</v>
      </c>
      <c r="C41" s="8">
        <v>1689</v>
      </c>
      <c r="D41" s="8"/>
      <c r="E41" s="8">
        <v>11</v>
      </c>
      <c r="F41" s="8">
        <v>9</v>
      </c>
      <c r="G41" s="8"/>
      <c r="H41" s="8">
        <v>519.3333333333334</v>
      </c>
      <c r="I41" s="8">
        <v>552</v>
      </c>
      <c r="J41" s="8"/>
      <c r="K41" s="8">
        <v>660</v>
      </c>
      <c r="L41" s="8">
        <v>1128</v>
      </c>
      <c r="M41" s="8"/>
    </row>
    <row r="42" spans="1:13" ht="15.75">
      <c r="A42" s="1" t="s">
        <v>36</v>
      </c>
      <c r="B42" s="8">
        <v>14681.333333333334</v>
      </c>
      <c r="C42" s="8">
        <v>18852</v>
      </c>
      <c r="D42" s="8"/>
      <c r="E42" s="8">
        <v>42.333333333333336</v>
      </c>
      <c r="F42" s="8">
        <v>48</v>
      </c>
      <c r="G42" s="8"/>
      <c r="H42" s="8">
        <v>6149.333333333333</v>
      </c>
      <c r="I42" s="8">
        <v>6598</v>
      </c>
      <c r="J42" s="8"/>
      <c r="K42" s="8">
        <v>8489.666666666666</v>
      </c>
      <c r="L42" s="8">
        <v>12206</v>
      </c>
      <c r="M42" s="8"/>
    </row>
    <row r="43" spans="1:13" ht="15.75">
      <c r="A43" s="1" t="s">
        <v>37</v>
      </c>
      <c r="B43" s="8">
        <v>999</v>
      </c>
      <c r="C43" s="8">
        <v>1336</v>
      </c>
      <c r="D43" s="8"/>
      <c r="E43" s="8">
        <v>3.6666666666666665</v>
      </c>
      <c r="F43" s="8">
        <v>6</v>
      </c>
      <c r="G43" s="8"/>
      <c r="H43" s="8">
        <v>443.3333333333333</v>
      </c>
      <c r="I43" s="8">
        <v>372</v>
      </c>
      <c r="J43" s="8"/>
      <c r="K43" s="8">
        <v>552</v>
      </c>
      <c r="L43" s="8">
        <v>958</v>
      </c>
      <c r="M43" s="8"/>
    </row>
    <row r="44" spans="1:13" ht="15.75">
      <c r="A44" s="1" t="s">
        <v>38</v>
      </c>
      <c r="B44" s="8">
        <v>31637</v>
      </c>
      <c r="C44" s="8">
        <v>37716</v>
      </c>
      <c r="D44" s="8"/>
      <c r="E44" s="8">
        <v>112</v>
      </c>
      <c r="F44" s="8">
        <v>94</v>
      </c>
      <c r="G44" s="8"/>
      <c r="H44" s="8">
        <v>16814</v>
      </c>
      <c r="I44" s="8">
        <v>17304</v>
      </c>
      <c r="J44" s="8"/>
      <c r="K44" s="8">
        <v>14711</v>
      </c>
      <c r="L44" s="8">
        <v>20318</v>
      </c>
      <c r="M44" s="8"/>
    </row>
    <row r="45" spans="1:13" ht="15.75">
      <c r="A45" s="1" t="s">
        <v>39</v>
      </c>
      <c r="B45" s="8">
        <v>3354.6666666666665</v>
      </c>
      <c r="C45" s="8">
        <v>4100</v>
      </c>
      <c r="D45" s="8"/>
      <c r="E45" s="8">
        <v>19</v>
      </c>
      <c r="F45" s="8">
        <v>13</v>
      </c>
      <c r="G45" s="8"/>
      <c r="H45" s="8">
        <v>1845</v>
      </c>
      <c r="I45" s="8">
        <v>1894</v>
      </c>
      <c r="J45" s="8"/>
      <c r="K45" s="8">
        <v>1490.6666666666667</v>
      </c>
      <c r="L45" s="8">
        <v>2193</v>
      </c>
      <c r="M45" s="8"/>
    </row>
    <row r="46" spans="1:13" ht="15.75">
      <c r="A46" s="1" t="s">
        <v>40</v>
      </c>
      <c r="B46" s="8">
        <v>4601</v>
      </c>
      <c r="C46" s="8">
        <v>6335</v>
      </c>
      <c r="D46" s="8"/>
      <c r="E46" s="8">
        <v>23.333333333333332</v>
      </c>
      <c r="F46" s="8">
        <v>18</v>
      </c>
      <c r="G46" s="8"/>
      <c r="H46" s="8">
        <v>2196</v>
      </c>
      <c r="I46" s="8">
        <v>2202</v>
      </c>
      <c r="J46" s="8"/>
      <c r="K46" s="8">
        <v>2381.6666666666665</v>
      </c>
      <c r="L46" s="8">
        <v>4115</v>
      </c>
      <c r="M46" s="8"/>
    </row>
    <row r="47" spans="1:13" ht="15.75">
      <c r="A47" s="1" t="s">
        <v>41</v>
      </c>
      <c r="B47" s="8">
        <v>9750.333333333334</v>
      </c>
      <c r="C47" s="8">
        <v>13010</v>
      </c>
      <c r="D47" s="8"/>
      <c r="E47" s="8">
        <v>36.666666666666664</v>
      </c>
      <c r="F47" s="8">
        <v>20</v>
      </c>
      <c r="G47" s="8"/>
      <c r="H47" s="8">
        <v>4495</v>
      </c>
      <c r="I47" s="8">
        <v>4431</v>
      </c>
      <c r="J47" s="8"/>
      <c r="K47" s="8">
        <v>5218.666666666667</v>
      </c>
      <c r="L47" s="8">
        <v>8559</v>
      </c>
      <c r="M47" s="8"/>
    </row>
    <row r="48" spans="1:13" ht="15.75">
      <c r="A48" s="1" t="s">
        <v>42</v>
      </c>
      <c r="B48" s="8">
        <v>2618.3333333333335</v>
      </c>
      <c r="C48" s="8">
        <v>3554</v>
      </c>
      <c r="D48" s="8"/>
      <c r="E48" s="8">
        <v>14.333333333333334</v>
      </c>
      <c r="F48" s="8">
        <v>14</v>
      </c>
      <c r="G48" s="8"/>
      <c r="H48" s="8">
        <v>820</v>
      </c>
      <c r="I48" s="8">
        <v>857</v>
      </c>
      <c r="J48" s="8"/>
      <c r="K48" s="8">
        <v>1784</v>
      </c>
      <c r="L48" s="8">
        <v>2683</v>
      </c>
      <c r="M48" s="8"/>
    </row>
    <row r="49" spans="1:13" ht="15.75">
      <c r="A49" s="1" t="s">
        <v>43</v>
      </c>
      <c r="B49" s="8">
        <v>6866</v>
      </c>
      <c r="C49" s="8">
        <v>9604</v>
      </c>
      <c r="D49" s="8"/>
      <c r="E49" s="8">
        <v>37.666666666666664</v>
      </c>
      <c r="F49" s="8">
        <v>30</v>
      </c>
      <c r="G49" s="8"/>
      <c r="H49" s="8">
        <v>3399.6666666666665</v>
      </c>
      <c r="I49" s="8">
        <v>3662</v>
      </c>
      <c r="J49" s="8"/>
      <c r="K49" s="8">
        <v>3428.6666666666665</v>
      </c>
      <c r="L49" s="8">
        <v>5912</v>
      </c>
      <c r="M49" s="8"/>
    </row>
    <row r="50" spans="1:13" ht="15.75">
      <c r="A50" s="1" t="s">
        <v>44</v>
      </c>
      <c r="B50" s="8">
        <v>654</v>
      </c>
      <c r="C50" s="8">
        <v>848</v>
      </c>
      <c r="D50" s="8"/>
      <c r="E50" s="8">
        <v>8</v>
      </c>
      <c r="F50" s="8">
        <v>2</v>
      </c>
      <c r="G50" s="8"/>
      <c r="H50" s="8">
        <v>277.6666666666667</v>
      </c>
      <c r="I50" s="8">
        <v>262</v>
      </c>
      <c r="J50" s="8"/>
      <c r="K50" s="8">
        <v>368.3333333333333</v>
      </c>
      <c r="L50" s="8">
        <v>584</v>
      </c>
      <c r="M50" s="8"/>
    </row>
    <row r="51" spans="1:13" ht="15.75">
      <c r="A51" s="1" t="s">
        <v>45</v>
      </c>
      <c r="B51" s="8">
        <v>2385.3333333333335</v>
      </c>
      <c r="C51" s="8">
        <v>3360</v>
      </c>
      <c r="D51" s="8"/>
      <c r="E51" s="8">
        <v>22.333333333333332</v>
      </c>
      <c r="F51" s="8">
        <v>24</v>
      </c>
      <c r="G51" s="8"/>
      <c r="H51" s="8">
        <v>1026</v>
      </c>
      <c r="I51" s="8">
        <v>1083</v>
      </c>
      <c r="J51" s="8"/>
      <c r="K51" s="8">
        <v>1337</v>
      </c>
      <c r="L51" s="8">
        <v>2253</v>
      </c>
      <c r="M51" s="8"/>
    </row>
    <row r="52" spans="1:13" ht="15.75">
      <c r="A52" s="1" t="s">
        <v>46</v>
      </c>
      <c r="B52" s="8">
        <v>1262.6666666666667</v>
      </c>
      <c r="C52" s="8">
        <v>1572</v>
      </c>
      <c r="D52" s="8"/>
      <c r="E52" s="8">
        <v>9.333333333333334</v>
      </c>
      <c r="F52" s="8">
        <v>9</v>
      </c>
      <c r="G52" s="8"/>
      <c r="H52" s="8">
        <v>516</v>
      </c>
      <c r="I52" s="8">
        <v>504</v>
      </c>
      <c r="J52" s="8"/>
      <c r="K52" s="8">
        <v>737.3333333333334</v>
      </c>
      <c r="L52" s="8">
        <v>1059</v>
      </c>
      <c r="M52" s="8"/>
    </row>
    <row r="53" spans="1:13" ht="15.75">
      <c r="A53" s="1" t="s">
        <v>47</v>
      </c>
      <c r="B53" s="8">
        <v>1950</v>
      </c>
      <c r="C53" s="8">
        <v>2649</v>
      </c>
      <c r="D53" s="8"/>
      <c r="E53" s="8">
        <v>13.333333333333334</v>
      </c>
      <c r="F53" s="8">
        <v>10</v>
      </c>
      <c r="G53" s="8"/>
      <c r="H53" s="8">
        <v>965.6666666666666</v>
      </c>
      <c r="I53" s="8">
        <v>959</v>
      </c>
      <c r="J53" s="8"/>
      <c r="K53" s="8">
        <v>971</v>
      </c>
      <c r="L53" s="8">
        <v>1680</v>
      </c>
      <c r="M53" s="8"/>
    </row>
    <row r="54" spans="1:13" ht="15.75">
      <c r="A54" s="1" t="s">
        <v>48</v>
      </c>
      <c r="B54" s="8">
        <v>2400.3333333333335</v>
      </c>
      <c r="C54" s="8">
        <v>3106</v>
      </c>
      <c r="D54" s="8"/>
      <c r="E54" s="8">
        <v>13</v>
      </c>
      <c r="F54" s="8">
        <v>15</v>
      </c>
      <c r="G54" s="8"/>
      <c r="H54" s="8">
        <v>1229.6666666666667</v>
      </c>
      <c r="I54" s="8">
        <v>1249</v>
      </c>
      <c r="J54" s="8"/>
      <c r="K54" s="8">
        <v>1157.6666666666667</v>
      </c>
      <c r="L54" s="8">
        <v>1842</v>
      </c>
      <c r="M54" s="8"/>
    </row>
    <row r="55" spans="1:13" ht="15.75">
      <c r="A55" s="1" t="s">
        <v>49</v>
      </c>
      <c r="B55" s="8">
        <v>5474.333333333333</v>
      </c>
      <c r="C55" s="8">
        <v>7262</v>
      </c>
      <c r="D55" s="8"/>
      <c r="E55" s="8">
        <v>24.666666666666668</v>
      </c>
      <c r="F55" s="8">
        <v>18</v>
      </c>
      <c r="G55" s="8"/>
      <c r="H55" s="8">
        <v>2925.6666666666665</v>
      </c>
      <c r="I55" s="8">
        <v>3160</v>
      </c>
      <c r="J55" s="8"/>
      <c r="K55" s="8">
        <v>2524</v>
      </c>
      <c r="L55" s="8">
        <v>4084</v>
      </c>
      <c r="M55" s="8"/>
    </row>
    <row r="56" spans="1:13" ht="15.75">
      <c r="A56" s="1" t="s">
        <v>50</v>
      </c>
      <c r="B56" s="8">
        <v>1996.6666666666667</v>
      </c>
      <c r="C56" s="8">
        <v>2867</v>
      </c>
      <c r="D56" s="8"/>
      <c r="E56" s="8">
        <v>17.666666666666668</v>
      </c>
      <c r="F56" s="8">
        <v>21</v>
      </c>
      <c r="G56" s="8"/>
      <c r="H56" s="8">
        <v>709</v>
      </c>
      <c r="I56" s="8">
        <v>742</v>
      </c>
      <c r="J56" s="8"/>
      <c r="K56" s="8">
        <v>1270</v>
      </c>
      <c r="L56" s="8">
        <v>2104</v>
      </c>
      <c r="M56" s="8"/>
    </row>
    <row r="57" spans="1:13" ht="15.75">
      <c r="A57" s="1" t="s">
        <v>51</v>
      </c>
      <c r="B57" s="8">
        <v>2678</v>
      </c>
      <c r="C57" s="8">
        <v>3314</v>
      </c>
      <c r="D57" s="8"/>
      <c r="E57" s="8">
        <v>17.666666666666668</v>
      </c>
      <c r="F57" s="8">
        <v>16</v>
      </c>
      <c r="G57" s="8"/>
      <c r="H57" s="8">
        <v>1438.6666666666667</v>
      </c>
      <c r="I57" s="8">
        <v>1421</v>
      </c>
      <c r="J57" s="8"/>
      <c r="K57" s="8">
        <v>1221.6666666666667</v>
      </c>
      <c r="L57" s="8">
        <v>1877</v>
      </c>
      <c r="M57" s="8"/>
    </row>
    <row r="58" spans="1:13" ht="15.75">
      <c r="A58" s="1" t="s">
        <v>52</v>
      </c>
      <c r="B58" s="8">
        <v>2543.6666666666665</v>
      </c>
      <c r="C58" s="8">
        <v>3108</v>
      </c>
      <c r="D58" s="8"/>
      <c r="E58" s="8">
        <v>6.333333333333333</v>
      </c>
      <c r="F58" s="8">
        <v>13</v>
      </c>
      <c r="G58" s="8"/>
      <c r="H58" s="8">
        <v>1175</v>
      </c>
      <c r="I58" s="8">
        <v>1221</v>
      </c>
      <c r="J58" s="8"/>
      <c r="K58" s="8">
        <v>1362.3333333333333</v>
      </c>
      <c r="L58" s="8">
        <v>1874</v>
      </c>
      <c r="M58" s="8"/>
    </row>
    <row r="59" spans="1:13" ht="15.75">
      <c r="A59" s="1" t="s">
        <v>53</v>
      </c>
      <c r="B59" s="8">
        <v>507.3333333333333</v>
      </c>
      <c r="C59" s="8">
        <v>731</v>
      </c>
      <c r="D59" s="8"/>
      <c r="E59" s="8">
        <v>6.333333333333333</v>
      </c>
      <c r="F59" s="8">
        <v>2</v>
      </c>
      <c r="G59" s="8"/>
      <c r="H59" s="8">
        <v>226</v>
      </c>
      <c r="I59" s="8">
        <v>249</v>
      </c>
      <c r="J59" s="8"/>
      <c r="K59" s="8">
        <v>275</v>
      </c>
      <c r="L59" s="8">
        <v>480</v>
      </c>
      <c r="M59" s="8"/>
    </row>
    <row r="60" spans="1:13" ht="15.75">
      <c r="A60" s="1" t="s">
        <v>54</v>
      </c>
      <c r="B60" s="8">
        <v>269.3333333333333</v>
      </c>
      <c r="C60" s="8">
        <v>524</v>
      </c>
      <c r="D60" s="8"/>
      <c r="E60" s="8">
        <v>2.3333333333333335</v>
      </c>
      <c r="F60" s="8">
        <v>1</v>
      </c>
      <c r="G60" s="8"/>
      <c r="H60" s="8">
        <v>129</v>
      </c>
      <c r="I60" s="8">
        <v>147</v>
      </c>
      <c r="J60" s="8"/>
      <c r="K60" s="8">
        <v>138</v>
      </c>
      <c r="L60" s="8">
        <v>376</v>
      </c>
      <c r="M60" s="8"/>
    </row>
    <row r="61" spans="1:13" ht="15.75">
      <c r="A61" s="1" t="s">
        <v>55</v>
      </c>
      <c r="B61" s="8">
        <v>681</v>
      </c>
      <c r="C61" s="8">
        <v>1023</v>
      </c>
      <c r="D61" s="8"/>
      <c r="E61" s="8">
        <v>4.666666666666667</v>
      </c>
      <c r="F61" s="8">
        <v>6</v>
      </c>
      <c r="G61" s="8"/>
      <c r="H61" s="8">
        <v>256.6666666666667</v>
      </c>
      <c r="I61" s="8">
        <v>272</v>
      </c>
      <c r="J61" s="8"/>
      <c r="K61" s="8">
        <v>419.6666666666667</v>
      </c>
      <c r="L61" s="8">
        <v>745</v>
      </c>
      <c r="M61" s="8"/>
    </row>
    <row r="62" spans="1:13" ht="15.75">
      <c r="A62" s="1" t="s">
        <v>56</v>
      </c>
      <c r="B62" s="8">
        <v>1476</v>
      </c>
      <c r="C62" s="8">
        <v>2318</v>
      </c>
      <c r="D62" s="8"/>
      <c r="E62" s="8">
        <v>14.666666666666666</v>
      </c>
      <c r="F62" s="8">
        <v>13</v>
      </c>
      <c r="G62" s="8"/>
      <c r="H62" s="8">
        <v>704.6666666666666</v>
      </c>
      <c r="I62" s="8">
        <v>801</v>
      </c>
      <c r="J62" s="8"/>
      <c r="K62" s="8">
        <v>756.6666666666666</v>
      </c>
      <c r="L62" s="8">
        <v>1504</v>
      </c>
      <c r="M62" s="8"/>
    </row>
    <row r="63" spans="1:13" ht="15.75">
      <c r="A63" s="1" t="s">
        <v>57</v>
      </c>
      <c r="B63" s="8">
        <v>28103.666666666668</v>
      </c>
      <c r="C63" s="8">
        <v>34854</v>
      </c>
      <c r="D63" s="8"/>
      <c r="E63" s="8">
        <v>154</v>
      </c>
      <c r="F63" s="8">
        <v>151</v>
      </c>
      <c r="G63" s="8"/>
      <c r="H63" s="8">
        <v>14750.333333333334</v>
      </c>
      <c r="I63" s="8">
        <v>15233</v>
      </c>
      <c r="J63" s="8"/>
      <c r="K63" s="8">
        <v>13199.333333333334</v>
      </c>
      <c r="L63" s="8">
        <v>19470</v>
      </c>
      <c r="M63" s="8"/>
    </row>
    <row r="64" spans="1:13" ht="15.75">
      <c r="A64" s="1" t="s">
        <v>58</v>
      </c>
      <c r="B64" s="8">
        <v>1448</v>
      </c>
      <c r="C64" s="8">
        <v>2018</v>
      </c>
      <c r="D64" s="8"/>
      <c r="E64" s="8">
        <v>13</v>
      </c>
      <c r="F64" s="8">
        <v>11</v>
      </c>
      <c r="G64" s="8"/>
      <c r="H64" s="8">
        <v>748.3333333333334</v>
      </c>
      <c r="I64" s="8">
        <v>712</v>
      </c>
      <c r="J64" s="8"/>
      <c r="K64" s="8">
        <v>686.6666666666666</v>
      </c>
      <c r="L64" s="8">
        <v>1295</v>
      </c>
      <c r="M64" s="8"/>
    </row>
    <row r="65" spans="1:13" ht="15.75">
      <c r="A65" s="1" t="s">
        <v>59</v>
      </c>
      <c r="B65" s="8">
        <v>857.6666666666666</v>
      </c>
      <c r="C65" s="8">
        <v>1116</v>
      </c>
      <c r="D65" s="8"/>
      <c r="E65" s="8">
        <v>3</v>
      </c>
      <c r="F65" s="8">
        <v>4</v>
      </c>
      <c r="G65" s="8"/>
      <c r="H65" s="8">
        <v>341</v>
      </c>
      <c r="I65" s="8">
        <v>347</v>
      </c>
      <c r="J65" s="8"/>
      <c r="K65" s="8">
        <v>513.6666666666666</v>
      </c>
      <c r="L65" s="8">
        <v>765</v>
      </c>
      <c r="M65" s="8"/>
    </row>
    <row r="66" spans="1:13" ht="15.75">
      <c r="A66" s="1" t="s">
        <v>60</v>
      </c>
      <c r="B66" s="8">
        <v>1687.6666666666667</v>
      </c>
      <c r="C66" s="8">
        <v>2561</v>
      </c>
      <c r="D66" s="8"/>
      <c r="E66" s="8">
        <v>7.333333333333333</v>
      </c>
      <c r="F66" s="8">
        <v>6</v>
      </c>
      <c r="G66" s="8"/>
      <c r="H66" s="8">
        <v>681</v>
      </c>
      <c r="I66" s="8">
        <v>740</v>
      </c>
      <c r="J66" s="8"/>
      <c r="K66" s="8">
        <v>999.3333333333334</v>
      </c>
      <c r="L66" s="8">
        <v>1815</v>
      </c>
      <c r="M66" s="8"/>
    </row>
    <row r="67" spans="1:13" ht="15.75">
      <c r="A67" s="1" t="s">
        <v>61</v>
      </c>
      <c r="B67" s="8">
        <v>3425</v>
      </c>
      <c r="C67" s="8">
        <v>4583</v>
      </c>
      <c r="D67" s="8"/>
      <c r="E67" s="8">
        <v>17.333333333333332</v>
      </c>
      <c r="F67" s="8">
        <v>21</v>
      </c>
      <c r="G67" s="8"/>
      <c r="H67" s="8">
        <v>1771.6666666666667</v>
      </c>
      <c r="I67" s="8">
        <v>1800</v>
      </c>
      <c r="J67" s="8"/>
      <c r="K67" s="8">
        <v>1636</v>
      </c>
      <c r="L67" s="8">
        <v>2762</v>
      </c>
      <c r="M67" s="8"/>
    </row>
    <row r="68" spans="1:13" ht="15.75">
      <c r="A68" s="1" t="s">
        <v>62</v>
      </c>
      <c r="B68" s="8">
        <v>1613.6666666666667</v>
      </c>
      <c r="C68" s="8">
        <v>2080</v>
      </c>
      <c r="D68" s="8"/>
      <c r="E68" s="8">
        <v>7.333333333333333</v>
      </c>
      <c r="F68" s="8">
        <v>7</v>
      </c>
      <c r="G68" s="8"/>
      <c r="H68" s="8">
        <v>695.3333333333334</v>
      </c>
      <c r="I68" s="8">
        <v>678</v>
      </c>
      <c r="J68" s="8"/>
      <c r="K68" s="8">
        <v>911</v>
      </c>
      <c r="L68" s="8">
        <v>1395</v>
      </c>
      <c r="M68" s="8"/>
    </row>
    <row r="69" spans="1:13" ht="15.75">
      <c r="A69" s="1" t="s">
        <v>63</v>
      </c>
      <c r="B69" s="8">
        <v>970</v>
      </c>
      <c r="C69" s="8">
        <v>1274</v>
      </c>
      <c r="D69" s="8"/>
      <c r="E69" s="8">
        <v>8.333333333333334</v>
      </c>
      <c r="F69" s="8">
        <v>11</v>
      </c>
      <c r="G69" s="8"/>
      <c r="H69" s="8">
        <v>458</v>
      </c>
      <c r="I69" s="8">
        <v>430</v>
      </c>
      <c r="J69" s="8"/>
      <c r="K69" s="8">
        <v>503.6666666666667</v>
      </c>
      <c r="L69" s="8">
        <v>833</v>
      </c>
      <c r="M69" s="8"/>
    </row>
    <row r="70" spans="1:13" ht="15.75">
      <c r="A70" s="1" t="s">
        <v>64</v>
      </c>
      <c r="B70" s="8">
        <v>1469</v>
      </c>
      <c r="C70" s="8">
        <v>1941</v>
      </c>
      <c r="D70" s="8"/>
      <c r="E70" s="8">
        <v>13</v>
      </c>
      <c r="F70" s="8">
        <v>11</v>
      </c>
      <c r="G70" s="8"/>
      <c r="H70" s="8">
        <v>669.6666666666666</v>
      </c>
      <c r="I70" s="8">
        <v>647</v>
      </c>
      <c r="J70" s="8"/>
      <c r="K70" s="8">
        <v>786.3333333333334</v>
      </c>
      <c r="L70" s="8">
        <v>1283</v>
      </c>
      <c r="M70" s="8"/>
    </row>
    <row r="71" spans="1:13" ht="15.75">
      <c r="A71" s="1" t="s">
        <v>65</v>
      </c>
      <c r="B71" s="8">
        <v>15954.333333333334</v>
      </c>
      <c r="C71" s="8">
        <v>19153</v>
      </c>
      <c r="D71" s="8"/>
      <c r="E71" s="8">
        <v>52.333333333333336</v>
      </c>
      <c r="F71" s="8">
        <v>56</v>
      </c>
      <c r="G71" s="8"/>
      <c r="H71" s="8">
        <v>8544.333333333334</v>
      </c>
      <c r="I71" s="8">
        <v>8672</v>
      </c>
      <c r="J71" s="8"/>
      <c r="K71" s="8">
        <v>7357.666666666667</v>
      </c>
      <c r="L71" s="8">
        <v>10425</v>
      </c>
      <c r="M71" s="8"/>
    </row>
    <row r="72" spans="1:13" ht="15.75">
      <c r="A72" s="1" t="s">
        <v>66</v>
      </c>
      <c r="B72" s="8">
        <v>724.6666666666666</v>
      </c>
      <c r="C72" s="8">
        <v>1179</v>
      </c>
      <c r="D72" s="8"/>
      <c r="E72" s="8">
        <v>9.666666666666666</v>
      </c>
      <c r="F72" s="8">
        <v>11</v>
      </c>
      <c r="G72" s="8"/>
      <c r="H72" s="8">
        <v>314</v>
      </c>
      <c r="I72" s="8">
        <v>310</v>
      </c>
      <c r="J72" s="8"/>
      <c r="K72" s="8">
        <v>401</v>
      </c>
      <c r="L72" s="8">
        <v>858</v>
      </c>
      <c r="M72" s="8"/>
    </row>
    <row r="73" spans="1:13" ht="15.75">
      <c r="A73" s="1" t="s">
        <v>67</v>
      </c>
      <c r="B73" s="8">
        <v>191.33333333333334</v>
      </c>
      <c r="C73" s="8">
        <v>248</v>
      </c>
      <c r="D73" s="8"/>
      <c r="E73" s="8">
        <v>4</v>
      </c>
      <c r="F73" s="7">
        <v>5</v>
      </c>
      <c r="G73" s="8"/>
      <c r="H73" s="8">
        <v>119</v>
      </c>
      <c r="I73" s="8">
        <v>116</v>
      </c>
      <c r="J73" s="8"/>
      <c r="K73" s="8">
        <v>68.33333333333333</v>
      </c>
      <c r="L73" s="8">
        <v>127</v>
      </c>
      <c r="M73" s="8"/>
    </row>
    <row r="74" spans="1:13" ht="15.75">
      <c r="A74" s="3"/>
      <c r="B74" s="14"/>
      <c r="C74" s="14"/>
      <c r="D74" s="14"/>
      <c r="E74" s="14"/>
      <c r="F74" s="14"/>
      <c r="G74" s="14"/>
      <c r="H74" s="14"/>
      <c r="I74" s="14"/>
      <c r="J74" s="14"/>
      <c r="K74" s="14"/>
      <c r="L74" s="14"/>
      <c r="M74" s="8"/>
    </row>
    <row r="75" spans="1:13" ht="48" customHeight="1">
      <c r="A75" s="31" t="s">
        <v>94</v>
      </c>
      <c r="B75" s="31"/>
      <c r="C75" s="31"/>
      <c r="D75" s="31"/>
      <c r="E75" s="31"/>
      <c r="F75" s="31"/>
      <c r="G75" s="31"/>
      <c r="H75" s="31"/>
      <c r="I75" s="31"/>
      <c r="J75" s="31"/>
      <c r="K75" s="31"/>
      <c r="L75" s="31"/>
      <c r="M75" s="8"/>
    </row>
    <row r="76" spans="1:13" ht="15.75">
      <c r="A76" s="21"/>
      <c r="B76" s="22"/>
      <c r="C76" s="22"/>
      <c r="D76" s="22"/>
      <c r="E76" s="22"/>
      <c r="F76" s="22"/>
      <c r="G76" s="22"/>
      <c r="H76" s="22"/>
      <c r="I76" s="22"/>
      <c r="J76" s="22"/>
      <c r="K76" s="22"/>
      <c r="L76" s="22"/>
      <c r="M76" s="8"/>
    </row>
    <row r="77" spans="1:13" ht="36" customHeight="1">
      <c r="A77" s="31" t="s">
        <v>107</v>
      </c>
      <c r="B77" s="31"/>
      <c r="C77" s="31"/>
      <c r="D77" s="31"/>
      <c r="E77" s="31"/>
      <c r="F77" s="31"/>
      <c r="G77" s="31"/>
      <c r="H77" s="31"/>
      <c r="I77" s="31"/>
      <c r="J77" s="31"/>
      <c r="K77" s="31"/>
      <c r="L77" s="31"/>
      <c r="M77" s="8"/>
    </row>
    <row r="78" spans="1:13" ht="65.25" customHeight="1">
      <c r="A78" s="28" t="s">
        <v>108</v>
      </c>
      <c r="B78" s="28"/>
      <c r="C78" s="28"/>
      <c r="D78" s="28"/>
      <c r="E78" s="28"/>
      <c r="F78" s="28"/>
      <c r="G78" s="28"/>
      <c r="H78" s="28"/>
      <c r="I78" s="28"/>
      <c r="J78" s="28"/>
      <c r="K78" s="28"/>
      <c r="L78" s="28"/>
      <c r="M78" s="1"/>
    </row>
    <row r="79" spans="1:13" ht="15.75">
      <c r="A79" s="1"/>
      <c r="B79" s="1"/>
      <c r="C79" s="1"/>
      <c r="D79" s="1"/>
      <c r="E79" s="1"/>
      <c r="F79" s="1"/>
      <c r="G79" s="1"/>
      <c r="H79" s="1"/>
      <c r="I79" s="1"/>
      <c r="J79" s="1"/>
      <c r="K79" s="1"/>
      <c r="L79" s="1"/>
      <c r="M79" s="1"/>
    </row>
    <row r="80" spans="1:13" ht="15.75">
      <c r="A80" s="1" t="s">
        <v>68</v>
      </c>
      <c r="B80" s="1"/>
      <c r="C80" s="1"/>
      <c r="D80" s="1"/>
      <c r="E80" s="1"/>
      <c r="F80" s="1"/>
      <c r="G80" s="1"/>
      <c r="H80" s="1"/>
      <c r="I80" s="1"/>
      <c r="J80" s="1"/>
      <c r="K80" s="1"/>
      <c r="L80" s="1"/>
      <c r="M80" s="1"/>
    </row>
    <row r="81" spans="1:13" ht="15.75">
      <c r="A81" s="1"/>
      <c r="B81" s="1"/>
      <c r="C81" s="1"/>
      <c r="D81" s="1"/>
      <c r="E81" s="1"/>
      <c r="F81" s="1"/>
      <c r="G81" s="1"/>
      <c r="H81" s="1"/>
      <c r="I81" s="1"/>
      <c r="J81" s="1"/>
      <c r="K81" s="1"/>
      <c r="L81" s="1"/>
      <c r="M81" s="1"/>
    </row>
    <row r="82" spans="1:13" ht="15.75">
      <c r="A82" s="1"/>
      <c r="B82" s="1"/>
      <c r="C82" s="1"/>
      <c r="D82" s="1"/>
      <c r="E82" s="1"/>
      <c r="F82" s="1"/>
      <c r="G82" s="1"/>
      <c r="H82" s="1"/>
      <c r="I82" s="1"/>
      <c r="J82" s="1"/>
      <c r="K82" s="1"/>
      <c r="L82" s="1"/>
      <c r="M82" s="1"/>
    </row>
  </sheetData>
  <sheetProtection/>
  <mergeCells count="7">
    <mergeCell ref="A78:L78"/>
    <mergeCell ref="B4:C4"/>
    <mergeCell ref="E4:F4"/>
    <mergeCell ref="H4:I4"/>
    <mergeCell ref="K4:L4"/>
    <mergeCell ref="A75:L75"/>
    <mergeCell ref="A77:L7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100"/>
  <sheetViews>
    <sheetView zoomScalePageLayoutView="0" workbookViewId="0" topLeftCell="A1">
      <selection activeCell="A81" sqref="A81:IV97"/>
    </sheetView>
  </sheetViews>
  <sheetFormatPr defaultColWidth="8.88671875" defaultRowHeight="15.75"/>
  <cols>
    <col min="1" max="1" width="25.77734375" style="0" customWidth="1"/>
    <col min="2" max="3" width="10.77734375" style="0" customWidth="1"/>
    <col min="4" max="4" width="2.77734375" style="0" customWidth="1"/>
    <col min="5" max="6" width="10.77734375" style="0" customWidth="1"/>
    <col min="7" max="7" width="2.77734375" style="0" customWidth="1"/>
    <col min="8" max="9" width="10.77734375" style="0" customWidth="1"/>
    <col min="10" max="10" width="2.77734375" style="0" customWidth="1"/>
    <col min="11" max="16384" width="10.77734375" style="0" customWidth="1"/>
  </cols>
  <sheetData>
    <row r="1" spans="1:12" ht="20.25">
      <c r="A1" s="12" t="s">
        <v>0</v>
      </c>
      <c r="B1" s="1"/>
      <c r="C1" s="2"/>
      <c r="D1" s="1"/>
      <c r="E1" s="1"/>
      <c r="F1" s="1"/>
      <c r="G1" s="1"/>
      <c r="H1" s="1"/>
      <c r="I1" s="1"/>
      <c r="J1" s="1"/>
      <c r="K1" s="1"/>
      <c r="L1" s="1"/>
    </row>
    <row r="2" spans="1:12" ht="20.25">
      <c r="A2" s="12" t="s">
        <v>115</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103</v>
      </c>
      <c r="C4" s="30"/>
      <c r="D4" s="3"/>
      <c r="E4" s="30" t="s">
        <v>69</v>
      </c>
      <c r="F4" s="30"/>
      <c r="G4" s="3"/>
      <c r="H4" s="30" t="s">
        <v>70</v>
      </c>
      <c r="I4" s="30"/>
      <c r="J4" s="3"/>
      <c r="K4" s="30" t="s">
        <v>92</v>
      </c>
      <c r="L4" s="30"/>
    </row>
    <row r="5" spans="1:12" ht="29.25">
      <c r="A5" s="4" t="s">
        <v>1</v>
      </c>
      <c r="B5" s="17" t="s">
        <v>116</v>
      </c>
      <c r="C5" s="5">
        <v>1999</v>
      </c>
      <c r="D5" s="4"/>
      <c r="E5" s="17" t="s">
        <v>116</v>
      </c>
      <c r="F5" s="5">
        <v>1999</v>
      </c>
      <c r="G5" s="4"/>
      <c r="H5" s="17" t="s">
        <v>116</v>
      </c>
      <c r="I5" s="5">
        <v>1999</v>
      </c>
      <c r="J5" s="4"/>
      <c r="K5" s="17" t="s">
        <v>116</v>
      </c>
      <c r="L5" s="5">
        <v>1999</v>
      </c>
    </row>
    <row r="6" spans="1:12" ht="15.75">
      <c r="A6" s="1"/>
      <c r="B6" s="1"/>
      <c r="C6" s="2"/>
      <c r="D6" s="1"/>
      <c r="E6" s="1"/>
      <c r="F6" s="1"/>
      <c r="G6" s="1"/>
      <c r="H6" s="6"/>
      <c r="I6" s="1"/>
      <c r="J6" s="1"/>
      <c r="K6" s="1"/>
      <c r="L6" s="1"/>
    </row>
    <row r="7" spans="1:12" ht="15.75">
      <c r="A7" s="1" t="s">
        <v>2</v>
      </c>
      <c r="B7" s="8">
        <f>+B9+B16</f>
        <v>273601.3333333334</v>
      </c>
      <c r="C7" s="8">
        <f>+C9+C16</f>
        <v>356981</v>
      </c>
      <c r="D7" s="8" t="s">
        <v>3</v>
      </c>
      <c r="E7" s="8">
        <f>+E9+E16</f>
        <v>1444.6666666666667</v>
      </c>
      <c r="F7" s="8">
        <f>+F9+F16</f>
        <v>1460</v>
      </c>
      <c r="G7" s="8"/>
      <c r="H7" s="8">
        <f>+H9+H16</f>
        <v>183353.00000000003</v>
      </c>
      <c r="I7" s="8">
        <f>+I9+I16</f>
        <v>182768</v>
      </c>
      <c r="J7" s="8"/>
      <c r="K7" s="8">
        <f>+K9+K16</f>
        <v>88803.6666666667</v>
      </c>
      <c r="L7" s="8">
        <f>+L9+L16</f>
        <v>172753</v>
      </c>
    </row>
    <row r="8" spans="1:12" ht="15.75">
      <c r="A8" s="1"/>
      <c r="B8" s="8"/>
      <c r="C8" s="8"/>
      <c r="D8" s="8"/>
      <c r="E8" s="8"/>
      <c r="F8" s="8"/>
      <c r="G8" s="8" t="s">
        <v>3</v>
      </c>
      <c r="H8" s="8"/>
      <c r="I8" s="8"/>
      <c r="J8" s="8" t="s">
        <v>3</v>
      </c>
      <c r="K8" s="8"/>
      <c r="L8" s="8"/>
    </row>
    <row r="9" spans="1:12" ht="15.75">
      <c r="A9" s="1" t="s">
        <v>4</v>
      </c>
      <c r="B9" s="8">
        <f>SUM(B10:B14)</f>
        <v>93714.66666666667</v>
      </c>
      <c r="C9" s="8">
        <f>SUM(C10:C14)</f>
        <v>117166</v>
      </c>
      <c r="D9" s="8" t="s">
        <v>3</v>
      </c>
      <c r="E9" s="8">
        <f>SUM(E10:E14)</f>
        <v>387</v>
      </c>
      <c r="F9" s="8">
        <f>SUM(F10:F14)</f>
        <v>372</v>
      </c>
      <c r="G9" s="8"/>
      <c r="H9" s="8">
        <f>SUM(H10:H14)</f>
        <v>78834.33333333334</v>
      </c>
      <c r="I9" s="8">
        <f>SUM(I10:I14)</f>
        <v>80833</v>
      </c>
      <c r="J9" s="8"/>
      <c r="K9" s="8">
        <f>SUM(K10:K14)</f>
        <v>14493.333333333332</v>
      </c>
      <c r="L9" s="8">
        <f>SUM(L10:L14)</f>
        <v>35961</v>
      </c>
    </row>
    <row r="10" spans="1:12" ht="15.75">
      <c r="A10" s="1" t="s">
        <v>5</v>
      </c>
      <c r="B10" s="8">
        <v>13095</v>
      </c>
      <c r="C10" s="8">
        <v>17950</v>
      </c>
      <c r="D10" s="8"/>
      <c r="E10" s="8">
        <v>58.333333333333336</v>
      </c>
      <c r="F10" s="8">
        <v>59</v>
      </c>
      <c r="G10" s="8"/>
      <c r="H10" s="8">
        <v>10862</v>
      </c>
      <c r="I10" s="8">
        <v>11960</v>
      </c>
      <c r="J10" s="8"/>
      <c r="K10" s="8">
        <v>2174.6666666666665</v>
      </c>
      <c r="L10" s="8">
        <v>5931</v>
      </c>
    </row>
    <row r="11" spans="1:12" ht="15.75">
      <c r="A11" s="1" t="s">
        <v>6</v>
      </c>
      <c r="B11" s="8">
        <v>29118.333333333332</v>
      </c>
      <c r="C11" s="8">
        <v>35782</v>
      </c>
      <c r="D11" s="8"/>
      <c r="E11" s="8">
        <v>119.33333333333333</v>
      </c>
      <c r="F11" s="8">
        <v>114</v>
      </c>
      <c r="G11" s="8"/>
      <c r="H11" s="8">
        <v>25781</v>
      </c>
      <c r="I11" s="8">
        <v>26511</v>
      </c>
      <c r="J11" s="8"/>
      <c r="K11" s="8">
        <v>3218</v>
      </c>
      <c r="L11" s="8">
        <v>9157</v>
      </c>
    </row>
    <row r="12" spans="1:12" ht="15.75">
      <c r="A12" s="1" t="s">
        <v>7</v>
      </c>
      <c r="B12" s="8">
        <v>18708.666666666668</v>
      </c>
      <c r="C12" s="8">
        <v>22956</v>
      </c>
      <c r="D12" s="8"/>
      <c r="E12" s="8">
        <v>74.66666666666667</v>
      </c>
      <c r="F12" s="8">
        <v>66</v>
      </c>
      <c r="G12" s="8"/>
      <c r="H12" s="8">
        <v>15593</v>
      </c>
      <c r="I12" s="8">
        <v>14679</v>
      </c>
      <c r="J12" s="8"/>
      <c r="K12" s="8">
        <v>3041</v>
      </c>
      <c r="L12" s="8">
        <v>8211</v>
      </c>
    </row>
    <row r="13" spans="1:12" ht="15.75">
      <c r="A13" s="1" t="s">
        <v>8</v>
      </c>
      <c r="B13" s="8">
        <v>27555.666666666668</v>
      </c>
      <c r="C13" s="8">
        <v>34697</v>
      </c>
      <c r="D13" s="8"/>
      <c r="E13" s="8">
        <v>117</v>
      </c>
      <c r="F13" s="8">
        <v>118</v>
      </c>
      <c r="G13" s="8"/>
      <c r="H13" s="8">
        <v>22404.666666666668</v>
      </c>
      <c r="I13" s="8">
        <v>23875</v>
      </c>
      <c r="J13" s="8"/>
      <c r="K13" s="8">
        <v>5034</v>
      </c>
      <c r="L13" s="8">
        <v>10704</v>
      </c>
    </row>
    <row r="14" spans="1:12" ht="15.75">
      <c r="A14" s="1" t="s">
        <v>9</v>
      </c>
      <c r="B14" s="8">
        <v>5237</v>
      </c>
      <c r="C14" s="8">
        <v>5781</v>
      </c>
      <c r="D14" s="8"/>
      <c r="E14" s="8">
        <v>17.666666666666668</v>
      </c>
      <c r="F14" s="8">
        <v>15</v>
      </c>
      <c r="G14" s="8"/>
      <c r="H14" s="8">
        <v>4193.666666666667</v>
      </c>
      <c r="I14" s="8">
        <v>3808</v>
      </c>
      <c r="J14" s="8"/>
      <c r="K14" s="8">
        <v>1025.6666666666667</v>
      </c>
      <c r="L14" s="8">
        <v>1958</v>
      </c>
    </row>
    <row r="15" spans="1:12" ht="15.75">
      <c r="A15" s="1"/>
      <c r="B15" s="8"/>
      <c r="C15" s="8"/>
      <c r="D15" s="8"/>
      <c r="E15" s="8"/>
      <c r="F15" s="8"/>
      <c r="G15" s="8"/>
      <c r="H15" s="8"/>
      <c r="I15" s="8"/>
      <c r="J15" s="8"/>
      <c r="K15" s="8"/>
      <c r="L15" s="8"/>
    </row>
    <row r="16" spans="1:12" ht="15.75">
      <c r="A16" s="1" t="s">
        <v>10</v>
      </c>
      <c r="B16" s="8">
        <f>SUM(B17:B73)</f>
        <v>179886.6666666667</v>
      </c>
      <c r="C16" s="8">
        <f>SUM(C17:C73)</f>
        <v>239815</v>
      </c>
      <c r="D16" s="8" t="s">
        <v>3</v>
      </c>
      <c r="E16" s="8">
        <f>SUM(E17:E73)</f>
        <v>1057.6666666666667</v>
      </c>
      <c r="F16" s="8">
        <f>SUM(F17:F73)</f>
        <v>1088</v>
      </c>
      <c r="G16" s="8"/>
      <c r="H16" s="8">
        <f>SUM(H17:H73)</f>
        <v>104518.66666666669</v>
      </c>
      <c r="I16" s="8">
        <f>SUM(I17:I73)</f>
        <v>101935</v>
      </c>
      <c r="J16" s="8"/>
      <c r="K16" s="8">
        <f>SUM(K17:K73)</f>
        <v>74310.33333333337</v>
      </c>
      <c r="L16" s="8">
        <f>SUM(L17:L73)</f>
        <v>136792</v>
      </c>
    </row>
    <row r="17" spans="1:12" ht="15.75">
      <c r="A17" s="1" t="s">
        <v>11</v>
      </c>
      <c r="B17" s="8">
        <v>5370</v>
      </c>
      <c r="C17" s="8">
        <v>7639</v>
      </c>
      <c r="D17" s="8"/>
      <c r="E17" s="8">
        <v>18</v>
      </c>
      <c r="F17" s="8">
        <v>14</v>
      </c>
      <c r="G17" s="8"/>
      <c r="H17" s="8">
        <v>3127.3333333333335</v>
      </c>
      <c r="I17" s="8">
        <v>2979</v>
      </c>
      <c r="J17" s="8"/>
      <c r="K17" s="8">
        <v>2224.6666666666665</v>
      </c>
      <c r="L17" s="8">
        <v>4646</v>
      </c>
    </row>
    <row r="18" spans="1:12" ht="15.75">
      <c r="A18" s="1" t="s">
        <v>12</v>
      </c>
      <c r="B18" s="8">
        <v>608.6666666666666</v>
      </c>
      <c r="C18" s="8">
        <v>895</v>
      </c>
      <c r="D18" s="8"/>
      <c r="E18" s="8">
        <v>6.333333333333333</v>
      </c>
      <c r="F18" s="8">
        <v>13</v>
      </c>
      <c r="G18" s="8"/>
      <c r="H18" s="8">
        <v>327</v>
      </c>
      <c r="I18" s="8">
        <v>334</v>
      </c>
      <c r="J18" s="8"/>
      <c r="K18" s="8">
        <v>275.3333333333333</v>
      </c>
      <c r="L18" s="8">
        <v>548</v>
      </c>
    </row>
    <row r="19" spans="1:12" ht="15.75">
      <c r="A19" s="1" t="s">
        <v>13</v>
      </c>
      <c r="B19" s="8">
        <v>3016.3333333333335</v>
      </c>
      <c r="C19" s="8">
        <v>4398</v>
      </c>
      <c r="D19" s="8"/>
      <c r="E19" s="8">
        <v>17.666666666666668</v>
      </c>
      <c r="F19" s="8">
        <v>21</v>
      </c>
      <c r="G19" s="8"/>
      <c r="H19" s="8">
        <v>1737.3333333333333</v>
      </c>
      <c r="I19" s="8">
        <v>1686</v>
      </c>
      <c r="J19" s="8"/>
      <c r="K19" s="8">
        <v>1261.3333333333333</v>
      </c>
      <c r="L19" s="8">
        <v>2691</v>
      </c>
    </row>
    <row r="20" spans="1:12" ht="15.75">
      <c r="A20" s="1" t="s">
        <v>14</v>
      </c>
      <c r="B20" s="8">
        <v>1028.6666666666667</v>
      </c>
      <c r="C20" s="8">
        <v>1287</v>
      </c>
      <c r="D20" s="8"/>
      <c r="E20" s="8">
        <v>11.333333333333334</v>
      </c>
      <c r="F20" s="8">
        <v>14</v>
      </c>
      <c r="G20" s="8"/>
      <c r="H20" s="8">
        <v>648</v>
      </c>
      <c r="I20" s="8">
        <v>609</v>
      </c>
      <c r="J20" s="8"/>
      <c r="K20" s="8">
        <v>369.3333333333333</v>
      </c>
      <c r="L20" s="8">
        <v>664</v>
      </c>
    </row>
    <row r="21" spans="1:12" ht="15.75">
      <c r="A21" s="1" t="s">
        <v>15</v>
      </c>
      <c r="B21" s="8">
        <v>1078.3333333333333</v>
      </c>
      <c r="C21" s="8">
        <v>1472</v>
      </c>
      <c r="D21" s="8"/>
      <c r="E21" s="8">
        <v>12.666666666666666</v>
      </c>
      <c r="F21" s="8">
        <v>10</v>
      </c>
      <c r="G21" s="8"/>
      <c r="H21" s="8">
        <v>664</v>
      </c>
      <c r="I21" s="8">
        <v>618</v>
      </c>
      <c r="J21" s="8"/>
      <c r="K21" s="8">
        <v>401.6666666666667</v>
      </c>
      <c r="L21" s="8">
        <v>844</v>
      </c>
    </row>
    <row r="22" spans="1:12" ht="15.75">
      <c r="A22" s="1" t="s">
        <v>16</v>
      </c>
      <c r="B22" s="8">
        <v>2112.6666666666665</v>
      </c>
      <c r="C22" s="8">
        <v>2858</v>
      </c>
      <c r="D22" s="8"/>
      <c r="E22" s="8">
        <v>23</v>
      </c>
      <c r="F22" s="8">
        <v>10</v>
      </c>
      <c r="G22" s="8"/>
      <c r="H22" s="8">
        <v>1153.3333333333333</v>
      </c>
      <c r="I22" s="8">
        <v>1059</v>
      </c>
      <c r="J22" s="8"/>
      <c r="K22" s="8">
        <v>936.3333333333334</v>
      </c>
      <c r="L22" s="8">
        <v>1789</v>
      </c>
    </row>
    <row r="23" spans="1:12" ht="15.75">
      <c r="A23" s="1" t="s">
        <v>17</v>
      </c>
      <c r="B23" s="8">
        <v>1038.6666666666667</v>
      </c>
      <c r="C23" s="8">
        <v>1552</v>
      </c>
      <c r="D23" s="8"/>
      <c r="E23" s="8">
        <v>7.333333333333333</v>
      </c>
      <c r="F23" s="8">
        <v>11</v>
      </c>
      <c r="G23" s="8"/>
      <c r="H23" s="8">
        <v>653</v>
      </c>
      <c r="I23" s="8">
        <v>701</v>
      </c>
      <c r="J23" s="8"/>
      <c r="K23" s="8">
        <v>378.3333333333333</v>
      </c>
      <c r="L23" s="8">
        <v>840</v>
      </c>
    </row>
    <row r="24" spans="1:12" ht="15.75">
      <c r="A24" s="1" t="s">
        <v>18</v>
      </c>
      <c r="B24" s="8">
        <v>746</v>
      </c>
      <c r="C24" s="8">
        <v>1149</v>
      </c>
      <c r="D24" s="8"/>
      <c r="E24" s="8">
        <v>8</v>
      </c>
      <c r="F24" s="8">
        <v>8</v>
      </c>
      <c r="G24" s="8"/>
      <c r="H24" s="8">
        <v>397.3333333333333</v>
      </c>
      <c r="I24" s="8">
        <v>420</v>
      </c>
      <c r="J24" s="8"/>
      <c r="K24" s="8">
        <v>340.6666666666667</v>
      </c>
      <c r="L24" s="8">
        <v>721</v>
      </c>
    </row>
    <row r="25" spans="1:12" ht="15.75">
      <c r="A25" s="1" t="s">
        <v>19</v>
      </c>
      <c r="B25" s="8">
        <v>1025.6666666666667</v>
      </c>
      <c r="C25" s="8">
        <v>1561</v>
      </c>
      <c r="D25" s="8"/>
      <c r="E25" s="8">
        <v>10.333333333333334</v>
      </c>
      <c r="F25" s="8">
        <v>15</v>
      </c>
      <c r="G25" s="8"/>
      <c r="H25" s="8">
        <v>629.3333333333334</v>
      </c>
      <c r="I25" s="8">
        <v>577</v>
      </c>
      <c r="J25" s="8"/>
      <c r="K25" s="8">
        <v>386</v>
      </c>
      <c r="L25" s="8">
        <v>969</v>
      </c>
    </row>
    <row r="26" spans="1:12" ht="15.75">
      <c r="A26" s="1" t="s">
        <v>20</v>
      </c>
      <c r="B26" s="8">
        <v>1075.3333333333333</v>
      </c>
      <c r="C26" s="8">
        <v>1412</v>
      </c>
      <c r="D26" s="8"/>
      <c r="E26" s="8">
        <v>12.666666666666666</v>
      </c>
      <c r="F26" s="8">
        <v>8</v>
      </c>
      <c r="G26" s="8"/>
      <c r="H26" s="8">
        <v>568</v>
      </c>
      <c r="I26" s="8">
        <v>528</v>
      </c>
      <c r="J26" s="8"/>
      <c r="K26" s="8">
        <v>494.6666666666667</v>
      </c>
      <c r="L26" s="8">
        <v>876</v>
      </c>
    </row>
    <row r="27" spans="1:12" ht="15.75">
      <c r="A27" s="1" t="s">
        <v>21</v>
      </c>
      <c r="B27" s="8">
        <v>872</v>
      </c>
      <c r="C27" s="8">
        <v>1300</v>
      </c>
      <c r="D27" s="8"/>
      <c r="E27" s="8">
        <v>6.666666666666667</v>
      </c>
      <c r="F27" s="8">
        <v>8</v>
      </c>
      <c r="G27" s="8"/>
      <c r="H27" s="8">
        <v>428.3333333333333</v>
      </c>
      <c r="I27" s="8">
        <v>412</v>
      </c>
      <c r="J27" s="8"/>
      <c r="K27" s="8">
        <v>437</v>
      </c>
      <c r="L27" s="8">
        <v>880</v>
      </c>
    </row>
    <row r="28" spans="1:12" ht="15.75">
      <c r="A28" s="1" t="s">
        <v>22</v>
      </c>
      <c r="B28" s="8">
        <v>748.6666666666666</v>
      </c>
      <c r="C28" s="8">
        <v>1126</v>
      </c>
      <c r="D28" s="8"/>
      <c r="E28" s="8">
        <v>6</v>
      </c>
      <c r="F28" s="8">
        <v>13</v>
      </c>
      <c r="G28" s="8"/>
      <c r="H28" s="8">
        <v>405</v>
      </c>
      <c r="I28" s="8">
        <v>394</v>
      </c>
      <c r="J28" s="8"/>
      <c r="K28" s="8">
        <v>337.6666666666667</v>
      </c>
      <c r="L28" s="8">
        <v>719</v>
      </c>
    </row>
    <row r="29" spans="1:12" ht="15.75">
      <c r="A29" s="1" t="s">
        <v>23</v>
      </c>
      <c r="B29" s="8">
        <v>5021.666666666667</v>
      </c>
      <c r="C29" s="8">
        <v>6577</v>
      </c>
      <c r="D29" s="8"/>
      <c r="E29" s="8">
        <v>26.666666666666668</v>
      </c>
      <c r="F29" s="8">
        <v>29</v>
      </c>
      <c r="G29" s="8"/>
      <c r="H29" s="8">
        <v>2792</v>
      </c>
      <c r="I29" s="8">
        <v>2818</v>
      </c>
      <c r="J29" s="8"/>
      <c r="K29" s="8">
        <v>2203</v>
      </c>
      <c r="L29" s="8">
        <v>3730</v>
      </c>
    </row>
    <row r="30" spans="1:12" ht="15.75">
      <c r="A30" s="1" t="s">
        <v>24</v>
      </c>
      <c r="B30" s="8">
        <v>12745</v>
      </c>
      <c r="C30" s="8">
        <v>15052</v>
      </c>
      <c r="D30" s="8"/>
      <c r="E30" s="8">
        <v>82.33333333333333</v>
      </c>
      <c r="F30" s="8">
        <v>75</v>
      </c>
      <c r="G30" s="8"/>
      <c r="H30" s="8">
        <v>8096.666666666667</v>
      </c>
      <c r="I30" s="8">
        <v>7865</v>
      </c>
      <c r="J30" s="8"/>
      <c r="K30" s="8">
        <v>4566</v>
      </c>
      <c r="L30" s="8">
        <v>7112</v>
      </c>
    </row>
    <row r="31" spans="1:12" ht="15.75">
      <c r="A31" s="1" t="s">
        <v>25</v>
      </c>
      <c r="B31" s="8">
        <v>613.6666666666666</v>
      </c>
      <c r="C31" s="8">
        <v>892</v>
      </c>
      <c r="D31" s="8"/>
      <c r="E31" s="8">
        <v>7</v>
      </c>
      <c r="F31" s="8">
        <v>4</v>
      </c>
      <c r="G31" s="8"/>
      <c r="H31" s="8">
        <v>348.3333333333333</v>
      </c>
      <c r="I31" s="8">
        <v>348</v>
      </c>
      <c r="J31" s="8"/>
      <c r="K31" s="8">
        <v>258.3333333333333</v>
      </c>
      <c r="L31" s="8">
        <v>540</v>
      </c>
    </row>
    <row r="32" spans="1:12" ht="15.75">
      <c r="A32" s="1" t="s">
        <v>26</v>
      </c>
      <c r="B32" s="8">
        <v>655.3333333333334</v>
      </c>
      <c r="C32" s="8">
        <v>1020</v>
      </c>
      <c r="D32" s="8"/>
      <c r="E32" s="8">
        <v>5</v>
      </c>
      <c r="F32" s="8">
        <v>7</v>
      </c>
      <c r="G32" s="8"/>
      <c r="H32" s="8">
        <v>367.3333333333333</v>
      </c>
      <c r="I32" s="8">
        <v>386</v>
      </c>
      <c r="J32" s="8"/>
      <c r="K32" s="8">
        <v>283</v>
      </c>
      <c r="L32" s="8">
        <v>627</v>
      </c>
    </row>
    <row r="33" spans="1:12" ht="15.75">
      <c r="A33" s="1" t="s">
        <v>27</v>
      </c>
      <c r="B33" s="8">
        <v>797.3333333333334</v>
      </c>
      <c r="C33" s="8">
        <v>1154</v>
      </c>
      <c r="D33" s="8"/>
      <c r="E33" s="8">
        <v>5.333333333333333</v>
      </c>
      <c r="F33" s="8">
        <v>3</v>
      </c>
      <c r="G33" s="8"/>
      <c r="H33" s="8">
        <v>475.3333333333333</v>
      </c>
      <c r="I33" s="8">
        <v>462</v>
      </c>
      <c r="J33" s="8"/>
      <c r="K33" s="8">
        <v>316.6666666666667</v>
      </c>
      <c r="L33" s="8">
        <v>689</v>
      </c>
    </row>
    <row r="34" spans="1:12" ht="15.75">
      <c r="A34" s="1" t="s">
        <v>28</v>
      </c>
      <c r="B34" s="8">
        <v>1223.3333333333333</v>
      </c>
      <c r="C34" s="8">
        <v>1782</v>
      </c>
      <c r="D34" s="8"/>
      <c r="E34" s="8">
        <v>13.666666666666666</v>
      </c>
      <c r="F34" s="8">
        <v>13</v>
      </c>
      <c r="G34" s="8"/>
      <c r="H34" s="8">
        <v>601</v>
      </c>
      <c r="I34" s="8">
        <v>579</v>
      </c>
      <c r="J34" s="8"/>
      <c r="K34" s="8">
        <v>608.6666666666666</v>
      </c>
      <c r="L34" s="8">
        <v>1190</v>
      </c>
    </row>
    <row r="35" spans="1:12" ht="15.75">
      <c r="A35" s="1" t="s">
        <v>29</v>
      </c>
      <c r="B35" s="8">
        <v>721</v>
      </c>
      <c r="C35" s="8">
        <v>1111</v>
      </c>
      <c r="D35" s="8"/>
      <c r="E35" s="8">
        <v>11.333333333333334</v>
      </c>
      <c r="F35" s="8">
        <v>7</v>
      </c>
      <c r="G35" s="8"/>
      <c r="H35" s="8">
        <v>410.6666666666667</v>
      </c>
      <c r="I35" s="8">
        <v>384</v>
      </c>
      <c r="J35" s="8"/>
      <c r="K35" s="8">
        <v>299</v>
      </c>
      <c r="L35" s="8">
        <v>720</v>
      </c>
    </row>
    <row r="36" spans="1:12" ht="15.75">
      <c r="A36" s="1" t="s">
        <v>30</v>
      </c>
      <c r="B36" s="8">
        <v>122</v>
      </c>
      <c r="C36" s="8">
        <v>187</v>
      </c>
      <c r="D36" s="8"/>
      <c r="E36" s="7">
        <v>1</v>
      </c>
      <c r="F36" s="7">
        <v>1</v>
      </c>
      <c r="G36" s="8"/>
      <c r="H36" s="8">
        <v>54.333333333333336</v>
      </c>
      <c r="I36" s="8">
        <v>60</v>
      </c>
      <c r="J36" s="8"/>
      <c r="K36" s="8">
        <v>66.66666666666667</v>
      </c>
      <c r="L36" s="8">
        <v>126</v>
      </c>
    </row>
    <row r="37" spans="1:12" ht="15.75">
      <c r="A37" s="1" t="s">
        <v>31</v>
      </c>
      <c r="B37" s="8">
        <v>758</v>
      </c>
      <c r="C37" s="8">
        <v>1076</v>
      </c>
      <c r="D37" s="8"/>
      <c r="E37" s="8">
        <v>6</v>
      </c>
      <c r="F37" s="8">
        <v>5</v>
      </c>
      <c r="G37" s="8"/>
      <c r="H37" s="8">
        <v>444.3333333333333</v>
      </c>
      <c r="I37" s="8">
        <v>436</v>
      </c>
      <c r="J37" s="8"/>
      <c r="K37" s="8">
        <v>307.6666666666667</v>
      </c>
      <c r="L37" s="8">
        <v>635</v>
      </c>
    </row>
    <row r="38" spans="1:12" ht="15.75">
      <c r="A38" s="1" t="s">
        <v>32</v>
      </c>
      <c r="B38" s="8">
        <v>1578.6666666666667</v>
      </c>
      <c r="C38" s="8">
        <v>1996</v>
      </c>
      <c r="D38" s="8"/>
      <c r="E38" s="8">
        <v>9.666666666666666</v>
      </c>
      <c r="F38" s="8">
        <v>11</v>
      </c>
      <c r="G38" s="8"/>
      <c r="H38" s="8">
        <v>861</v>
      </c>
      <c r="I38" s="8">
        <v>820</v>
      </c>
      <c r="J38" s="8"/>
      <c r="K38" s="8">
        <v>708</v>
      </c>
      <c r="L38" s="8">
        <v>1165</v>
      </c>
    </row>
    <row r="39" spans="1:12" ht="15.75">
      <c r="A39" s="1" t="s">
        <v>33</v>
      </c>
      <c r="B39" s="8">
        <v>405.3333333333333</v>
      </c>
      <c r="C39" s="8">
        <v>526</v>
      </c>
      <c r="D39" s="8"/>
      <c r="E39" s="8">
        <v>4.666666666666667</v>
      </c>
      <c r="F39" s="8">
        <v>6</v>
      </c>
      <c r="G39" s="8"/>
      <c r="H39" s="8">
        <v>172</v>
      </c>
      <c r="I39" s="8">
        <v>182</v>
      </c>
      <c r="J39" s="8"/>
      <c r="K39" s="8">
        <v>228.66666666666666</v>
      </c>
      <c r="L39" s="8">
        <v>338</v>
      </c>
    </row>
    <row r="40" spans="1:12" ht="15.75">
      <c r="A40" s="1" t="s">
        <v>34</v>
      </c>
      <c r="B40" s="8">
        <v>1011</v>
      </c>
      <c r="C40" s="8">
        <v>1527</v>
      </c>
      <c r="D40" s="8"/>
      <c r="E40" s="8">
        <v>9</v>
      </c>
      <c r="F40" s="8">
        <v>4</v>
      </c>
      <c r="G40" s="8"/>
      <c r="H40" s="8">
        <v>451.6666666666667</v>
      </c>
      <c r="I40" s="8">
        <v>446</v>
      </c>
      <c r="J40" s="8"/>
      <c r="K40" s="8">
        <v>550.3333333333334</v>
      </c>
      <c r="L40" s="8">
        <v>1077</v>
      </c>
    </row>
    <row r="41" spans="1:12" ht="15.75">
      <c r="A41" s="1" t="s">
        <v>35</v>
      </c>
      <c r="B41" s="8">
        <v>988</v>
      </c>
      <c r="C41" s="8">
        <v>1390</v>
      </c>
      <c r="D41" s="8"/>
      <c r="E41" s="8">
        <v>11</v>
      </c>
      <c r="F41" s="8">
        <v>10</v>
      </c>
      <c r="G41" s="8"/>
      <c r="H41" s="8">
        <v>536.6666666666666</v>
      </c>
      <c r="I41" s="8">
        <v>492</v>
      </c>
      <c r="J41" s="8"/>
      <c r="K41" s="8">
        <v>440.3333333333333</v>
      </c>
      <c r="L41" s="8">
        <v>888</v>
      </c>
    </row>
    <row r="42" spans="1:12" ht="15.75">
      <c r="A42" s="1" t="s">
        <v>36</v>
      </c>
      <c r="B42" s="8">
        <v>12356.333333333334</v>
      </c>
      <c r="C42" s="8">
        <v>16989</v>
      </c>
      <c r="D42" s="8"/>
      <c r="E42" s="8">
        <v>40.333333333333336</v>
      </c>
      <c r="F42" s="8">
        <v>49</v>
      </c>
      <c r="G42" s="8"/>
      <c r="H42" s="8">
        <v>6321</v>
      </c>
      <c r="I42" s="8">
        <v>6067</v>
      </c>
      <c r="J42" s="8"/>
      <c r="K42" s="8">
        <v>5995</v>
      </c>
      <c r="L42" s="8">
        <v>10873</v>
      </c>
    </row>
    <row r="43" spans="1:12" ht="15.75">
      <c r="A43" s="1" t="s">
        <v>37</v>
      </c>
      <c r="B43" s="8">
        <v>857.6666666666666</v>
      </c>
      <c r="C43" s="8">
        <v>1127</v>
      </c>
      <c r="D43" s="8"/>
      <c r="E43" s="8">
        <v>4.666666666666667</v>
      </c>
      <c r="F43" s="8">
        <v>1</v>
      </c>
      <c r="G43" s="8"/>
      <c r="H43" s="8">
        <v>465.6666666666667</v>
      </c>
      <c r="I43" s="8">
        <v>396</v>
      </c>
      <c r="J43" s="8"/>
      <c r="K43" s="8">
        <v>387.3333333333333</v>
      </c>
      <c r="L43" s="8">
        <v>730</v>
      </c>
    </row>
    <row r="44" spans="1:12" ht="15.75">
      <c r="A44" s="1" t="s">
        <v>38</v>
      </c>
      <c r="B44" s="8">
        <v>27884.333333333332</v>
      </c>
      <c r="C44" s="8">
        <v>35212</v>
      </c>
      <c r="D44" s="8"/>
      <c r="E44" s="8">
        <v>96</v>
      </c>
      <c r="F44" s="8">
        <v>123</v>
      </c>
      <c r="G44" s="8"/>
      <c r="H44" s="8">
        <v>16882.666666666668</v>
      </c>
      <c r="I44" s="8">
        <v>16681</v>
      </c>
      <c r="J44" s="8"/>
      <c r="K44" s="8">
        <v>10905.666666666666</v>
      </c>
      <c r="L44" s="8">
        <v>18408</v>
      </c>
    </row>
    <row r="45" spans="1:12" ht="15.75">
      <c r="A45" s="1" t="s">
        <v>39</v>
      </c>
      <c r="B45" s="8">
        <v>2979.6666666666665</v>
      </c>
      <c r="C45" s="8">
        <v>3834</v>
      </c>
      <c r="D45" s="8"/>
      <c r="E45" s="8">
        <v>19</v>
      </c>
      <c r="F45" s="8">
        <v>18</v>
      </c>
      <c r="G45" s="8"/>
      <c r="H45" s="8">
        <v>1888.3333333333333</v>
      </c>
      <c r="I45" s="8">
        <v>1891</v>
      </c>
      <c r="J45" s="8"/>
      <c r="K45" s="8">
        <v>1072.3333333333333</v>
      </c>
      <c r="L45" s="8">
        <v>1925</v>
      </c>
    </row>
    <row r="46" spans="1:12" ht="15.75">
      <c r="A46" s="1" t="s">
        <v>40</v>
      </c>
      <c r="B46" s="8">
        <v>3829</v>
      </c>
      <c r="C46" s="8">
        <v>5459</v>
      </c>
      <c r="D46" s="8"/>
      <c r="E46" s="8">
        <v>21</v>
      </c>
      <c r="F46" s="8">
        <v>31</v>
      </c>
      <c r="G46" s="8"/>
      <c r="H46" s="8">
        <v>2242.3333333333335</v>
      </c>
      <c r="I46" s="8">
        <v>2175</v>
      </c>
      <c r="J46" s="8"/>
      <c r="K46" s="8">
        <v>1565.6666666666667</v>
      </c>
      <c r="L46" s="8">
        <v>3253</v>
      </c>
    </row>
    <row r="47" spans="1:12" ht="15.75">
      <c r="A47" s="1" t="s">
        <v>41</v>
      </c>
      <c r="B47" s="8">
        <v>7909</v>
      </c>
      <c r="C47" s="8">
        <v>11787</v>
      </c>
      <c r="D47" s="8"/>
      <c r="E47" s="8">
        <v>37.333333333333336</v>
      </c>
      <c r="F47" s="8">
        <v>34</v>
      </c>
      <c r="G47" s="8"/>
      <c r="H47" s="8">
        <v>4502.666666666667</v>
      </c>
      <c r="I47" s="8">
        <v>4509</v>
      </c>
      <c r="J47" s="8"/>
      <c r="K47" s="8">
        <v>3369</v>
      </c>
      <c r="L47" s="8">
        <v>7244</v>
      </c>
    </row>
    <row r="48" spans="1:12" ht="15.75">
      <c r="A48" s="1" t="s">
        <v>42</v>
      </c>
      <c r="B48" s="8">
        <v>1979</v>
      </c>
      <c r="C48" s="8">
        <v>3177</v>
      </c>
      <c r="D48" s="8"/>
      <c r="E48" s="8">
        <v>15.333333333333334</v>
      </c>
      <c r="F48" s="8">
        <v>15</v>
      </c>
      <c r="G48" s="8"/>
      <c r="H48" s="8">
        <v>833.3333333333334</v>
      </c>
      <c r="I48" s="8">
        <v>794</v>
      </c>
      <c r="J48" s="8"/>
      <c r="K48" s="8">
        <v>1130.3333333333333</v>
      </c>
      <c r="L48" s="8">
        <v>2368</v>
      </c>
    </row>
    <row r="49" spans="1:12" ht="15.75">
      <c r="A49" s="1" t="s">
        <v>43</v>
      </c>
      <c r="B49" s="8">
        <v>5934</v>
      </c>
      <c r="C49" s="8">
        <v>8204</v>
      </c>
      <c r="D49" s="8"/>
      <c r="E49" s="8">
        <v>35.666666666666664</v>
      </c>
      <c r="F49" s="8">
        <v>43</v>
      </c>
      <c r="G49" s="8"/>
      <c r="H49" s="8">
        <v>3455</v>
      </c>
      <c r="I49" s="8">
        <v>3511</v>
      </c>
      <c r="J49" s="8"/>
      <c r="K49" s="8">
        <v>2443.3333333333335</v>
      </c>
      <c r="L49" s="8">
        <v>4650</v>
      </c>
    </row>
    <row r="50" spans="1:12" ht="15.75">
      <c r="A50" s="1" t="s">
        <v>44</v>
      </c>
      <c r="B50" s="8">
        <v>537.3333333333334</v>
      </c>
      <c r="C50" s="8">
        <v>766</v>
      </c>
      <c r="D50" s="8"/>
      <c r="E50" s="8">
        <v>9</v>
      </c>
      <c r="F50" s="8">
        <v>7</v>
      </c>
      <c r="G50" s="8"/>
      <c r="H50" s="8">
        <v>293.3333333333333</v>
      </c>
      <c r="I50" s="8">
        <v>246</v>
      </c>
      <c r="J50" s="8"/>
      <c r="K50" s="8">
        <v>235</v>
      </c>
      <c r="L50" s="8">
        <v>513</v>
      </c>
    </row>
    <row r="51" spans="1:12" ht="15.75">
      <c r="A51" s="1" t="s">
        <v>45</v>
      </c>
      <c r="B51" s="8">
        <v>1988</v>
      </c>
      <c r="C51" s="8">
        <v>2842</v>
      </c>
      <c r="D51" s="8"/>
      <c r="E51" s="8">
        <v>22</v>
      </c>
      <c r="F51" s="8">
        <v>24</v>
      </c>
      <c r="G51" s="8"/>
      <c r="H51" s="8">
        <v>1087.6666666666667</v>
      </c>
      <c r="I51" s="8">
        <v>993</v>
      </c>
      <c r="J51" s="8"/>
      <c r="K51" s="8">
        <v>878.3333333333334</v>
      </c>
      <c r="L51" s="8">
        <v>1825</v>
      </c>
    </row>
    <row r="52" spans="1:12" ht="15.75">
      <c r="A52" s="1" t="s">
        <v>46</v>
      </c>
      <c r="B52" s="8">
        <v>997.3333333333334</v>
      </c>
      <c r="C52" s="8">
        <v>1558</v>
      </c>
      <c r="D52" s="8"/>
      <c r="E52" s="8">
        <v>8.666666666666666</v>
      </c>
      <c r="F52" s="8">
        <v>9</v>
      </c>
      <c r="G52" s="8"/>
      <c r="H52" s="8">
        <v>501.3333333333333</v>
      </c>
      <c r="I52" s="8">
        <v>567</v>
      </c>
      <c r="J52" s="8"/>
      <c r="K52" s="8">
        <v>487.3333333333333</v>
      </c>
      <c r="L52" s="8">
        <v>982</v>
      </c>
    </row>
    <row r="53" spans="1:12" ht="15.75">
      <c r="A53" s="1" t="s">
        <v>47</v>
      </c>
      <c r="B53" s="8">
        <v>1799.6666666666667</v>
      </c>
      <c r="C53" s="8">
        <v>2141</v>
      </c>
      <c r="D53" s="8"/>
      <c r="E53" s="8">
        <v>13.666666666666666</v>
      </c>
      <c r="F53" s="8">
        <v>15</v>
      </c>
      <c r="G53" s="8"/>
      <c r="H53" s="8">
        <v>991.3333333333334</v>
      </c>
      <c r="I53" s="8">
        <v>954</v>
      </c>
      <c r="J53" s="8"/>
      <c r="K53" s="8">
        <v>794.6666666666666</v>
      </c>
      <c r="L53" s="8">
        <v>1172</v>
      </c>
    </row>
    <row r="54" spans="1:12" ht="15.75">
      <c r="A54" s="1" t="s">
        <v>48</v>
      </c>
      <c r="B54" s="8">
        <v>2108.6666666666665</v>
      </c>
      <c r="C54" s="8">
        <v>2785</v>
      </c>
      <c r="D54" s="8"/>
      <c r="E54" s="8">
        <v>15.333333333333334</v>
      </c>
      <c r="F54" s="8">
        <v>11</v>
      </c>
      <c r="G54" s="8"/>
      <c r="H54" s="8">
        <v>1260</v>
      </c>
      <c r="I54" s="8">
        <v>1191</v>
      </c>
      <c r="J54" s="8"/>
      <c r="K54" s="8">
        <v>833.3333333333334</v>
      </c>
      <c r="L54" s="8">
        <v>1583</v>
      </c>
    </row>
    <row r="55" spans="1:12" ht="15.75">
      <c r="A55" s="1" t="s">
        <v>49</v>
      </c>
      <c r="B55" s="8">
        <v>4990</v>
      </c>
      <c r="C55" s="8">
        <v>6396</v>
      </c>
      <c r="D55" s="8"/>
      <c r="E55" s="8">
        <v>22</v>
      </c>
      <c r="F55" s="8">
        <v>22</v>
      </c>
      <c r="G55" s="8"/>
      <c r="H55" s="8">
        <v>3019.6666666666665</v>
      </c>
      <c r="I55" s="8">
        <v>2930</v>
      </c>
      <c r="J55" s="8"/>
      <c r="K55" s="8">
        <v>1948.3333333333333</v>
      </c>
      <c r="L55" s="8">
        <v>3444</v>
      </c>
    </row>
    <row r="56" spans="1:12" ht="15.75">
      <c r="A56" s="1" t="s">
        <v>50</v>
      </c>
      <c r="B56" s="8">
        <v>1479.6666666666667</v>
      </c>
      <c r="C56" s="8">
        <v>2741</v>
      </c>
      <c r="D56" s="8"/>
      <c r="E56" s="8">
        <v>15.333333333333334</v>
      </c>
      <c r="F56" s="8">
        <v>23</v>
      </c>
      <c r="G56" s="8"/>
      <c r="H56" s="8">
        <v>739</v>
      </c>
      <c r="I56" s="8">
        <v>693</v>
      </c>
      <c r="J56" s="8"/>
      <c r="K56" s="8">
        <v>725.3333333333334</v>
      </c>
      <c r="L56" s="8">
        <v>2025</v>
      </c>
    </row>
    <row r="57" spans="1:12" ht="15.75">
      <c r="A57" s="1" t="s">
        <v>51</v>
      </c>
      <c r="B57" s="8">
        <v>2399</v>
      </c>
      <c r="C57" s="8">
        <v>3052</v>
      </c>
      <c r="D57" s="8"/>
      <c r="E57" s="8">
        <v>17</v>
      </c>
      <c r="F57" s="8">
        <v>23</v>
      </c>
      <c r="G57" s="8"/>
      <c r="H57" s="8">
        <v>1470.3333333333333</v>
      </c>
      <c r="I57" s="8">
        <v>1422</v>
      </c>
      <c r="J57" s="8"/>
      <c r="K57" s="8">
        <v>911.6666666666666</v>
      </c>
      <c r="L57" s="8">
        <v>1607</v>
      </c>
    </row>
    <row r="58" spans="1:12" ht="15.75">
      <c r="A58" s="1" t="s">
        <v>52</v>
      </c>
      <c r="B58" s="8">
        <v>2210</v>
      </c>
      <c r="C58" s="8">
        <v>2918</v>
      </c>
      <c r="D58" s="8"/>
      <c r="E58" s="8">
        <v>6</v>
      </c>
      <c r="F58" s="8">
        <v>7</v>
      </c>
      <c r="G58" s="8"/>
      <c r="H58" s="8">
        <v>1239</v>
      </c>
      <c r="I58" s="8">
        <v>1165</v>
      </c>
      <c r="J58" s="8"/>
      <c r="K58" s="8">
        <v>965</v>
      </c>
      <c r="L58" s="8">
        <v>1746</v>
      </c>
    </row>
    <row r="59" spans="1:12" ht="15.75">
      <c r="A59" s="1" t="s">
        <v>53</v>
      </c>
      <c r="B59" s="8">
        <v>415</v>
      </c>
      <c r="C59" s="8">
        <v>634</v>
      </c>
      <c r="D59" s="8"/>
      <c r="E59" s="8">
        <v>6.666666666666667</v>
      </c>
      <c r="F59" s="8">
        <v>6</v>
      </c>
      <c r="G59" s="8"/>
      <c r="H59" s="8">
        <v>228</v>
      </c>
      <c r="I59" s="8">
        <v>223</v>
      </c>
      <c r="J59" s="8"/>
      <c r="K59" s="8">
        <v>180.33333333333334</v>
      </c>
      <c r="L59" s="8">
        <v>405</v>
      </c>
    </row>
    <row r="60" spans="1:12" ht="15.75">
      <c r="A60" s="1" t="s">
        <v>54</v>
      </c>
      <c r="B60" s="8">
        <v>184</v>
      </c>
      <c r="C60" s="8">
        <v>440</v>
      </c>
      <c r="D60" s="8"/>
      <c r="E60" s="8">
        <v>2</v>
      </c>
      <c r="F60" s="8">
        <v>4</v>
      </c>
      <c r="G60" s="8"/>
      <c r="H60" s="8">
        <v>125.66666666666667</v>
      </c>
      <c r="I60" s="8">
        <v>137</v>
      </c>
      <c r="J60" s="8"/>
      <c r="K60" s="8">
        <v>56.333333333333336</v>
      </c>
      <c r="L60" s="8">
        <v>299</v>
      </c>
    </row>
    <row r="61" spans="1:12" ht="15.75">
      <c r="A61" s="1" t="s">
        <v>55</v>
      </c>
      <c r="B61" s="8">
        <v>510.6666666666667</v>
      </c>
      <c r="C61" s="8">
        <v>923</v>
      </c>
      <c r="D61" s="8"/>
      <c r="E61" s="8">
        <v>6</v>
      </c>
      <c r="F61" s="8">
        <v>2</v>
      </c>
      <c r="G61" s="8"/>
      <c r="H61" s="8">
        <v>259.3333333333333</v>
      </c>
      <c r="I61" s="8">
        <v>283</v>
      </c>
      <c r="J61" s="8"/>
      <c r="K61" s="8">
        <v>245.33333333333334</v>
      </c>
      <c r="L61" s="8">
        <v>638</v>
      </c>
    </row>
    <row r="62" spans="1:12" ht="15.75">
      <c r="A62" s="1" t="s">
        <v>56</v>
      </c>
      <c r="B62" s="8">
        <v>1198.6666666666667</v>
      </c>
      <c r="C62" s="8">
        <v>1836</v>
      </c>
      <c r="D62" s="8"/>
      <c r="E62" s="8">
        <v>15.333333333333334</v>
      </c>
      <c r="F62" s="8">
        <v>16</v>
      </c>
      <c r="G62" s="8"/>
      <c r="H62" s="8">
        <v>694.6666666666666</v>
      </c>
      <c r="I62" s="8">
        <v>741</v>
      </c>
      <c r="J62" s="8"/>
      <c r="K62" s="8">
        <v>488.6666666666667</v>
      </c>
      <c r="L62" s="8">
        <v>1079</v>
      </c>
    </row>
    <row r="63" spans="1:12" ht="15.75">
      <c r="A63" s="1" t="s">
        <v>57</v>
      </c>
      <c r="B63" s="8">
        <v>24885.333333333332</v>
      </c>
      <c r="C63" s="8">
        <v>31407</v>
      </c>
      <c r="D63" s="8"/>
      <c r="E63" s="8">
        <v>154</v>
      </c>
      <c r="F63" s="8">
        <v>153</v>
      </c>
      <c r="G63" s="8"/>
      <c r="H63" s="8">
        <v>15082</v>
      </c>
      <c r="I63" s="8">
        <v>14621</v>
      </c>
      <c r="J63" s="8"/>
      <c r="K63" s="8">
        <v>9649.333333333334</v>
      </c>
      <c r="L63" s="8">
        <v>16633</v>
      </c>
    </row>
    <row r="64" spans="1:12" ht="15.75">
      <c r="A64" s="1" t="s">
        <v>58</v>
      </c>
      <c r="B64" s="8">
        <v>1241.3333333333333</v>
      </c>
      <c r="C64" s="8">
        <v>1777</v>
      </c>
      <c r="D64" s="8"/>
      <c r="E64" s="8">
        <v>12.333333333333334</v>
      </c>
      <c r="F64" s="8">
        <v>12</v>
      </c>
      <c r="G64" s="8"/>
      <c r="H64" s="8">
        <v>770.3333333333334</v>
      </c>
      <c r="I64" s="8">
        <v>720</v>
      </c>
      <c r="J64" s="8"/>
      <c r="K64" s="8">
        <v>458.6666666666667</v>
      </c>
      <c r="L64" s="8">
        <v>1045</v>
      </c>
    </row>
    <row r="65" spans="1:12" ht="15.75">
      <c r="A65" s="1" t="s">
        <v>59</v>
      </c>
      <c r="B65" s="8">
        <v>677.6666666666666</v>
      </c>
      <c r="C65" s="8">
        <v>1018</v>
      </c>
      <c r="D65" s="8"/>
      <c r="E65" s="8">
        <v>5</v>
      </c>
      <c r="F65" s="8">
        <v>3</v>
      </c>
      <c r="G65" s="8"/>
      <c r="H65" s="8">
        <v>333.6666666666667</v>
      </c>
      <c r="I65" s="8">
        <v>351</v>
      </c>
      <c r="J65" s="8"/>
      <c r="K65" s="8">
        <v>339</v>
      </c>
      <c r="L65" s="8">
        <v>664</v>
      </c>
    </row>
    <row r="66" spans="1:12" ht="15.75">
      <c r="A66" s="1" t="s">
        <v>60</v>
      </c>
      <c r="B66" s="8">
        <v>1363.3333333333333</v>
      </c>
      <c r="C66" s="8">
        <v>2182</v>
      </c>
      <c r="D66" s="8"/>
      <c r="E66" s="8">
        <v>10</v>
      </c>
      <c r="F66" s="8">
        <v>5</v>
      </c>
      <c r="G66" s="8"/>
      <c r="H66" s="8">
        <v>680.3333333333334</v>
      </c>
      <c r="I66" s="8">
        <v>715</v>
      </c>
      <c r="J66" s="8"/>
      <c r="K66" s="8">
        <v>673</v>
      </c>
      <c r="L66" s="8">
        <v>1462</v>
      </c>
    </row>
    <row r="67" spans="1:12" ht="15.75">
      <c r="A67" s="1" t="s">
        <v>61</v>
      </c>
      <c r="B67" s="8">
        <v>2934</v>
      </c>
      <c r="C67" s="8">
        <v>4164</v>
      </c>
      <c r="D67" s="8"/>
      <c r="E67" s="8">
        <v>17</v>
      </c>
      <c r="F67" s="8">
        <v>20</v>
      </c>
      <c r="G67" s="8"/>
      <c r="H67" s="8">
        <v>1826</v>
      </c>
      <c r="I67" s="8">
        <v>1722</v>
      </c>
      <c r="J67" s="8"/>
      <c r="K67" s="8">
        <v>1091</v>
      </c>
      <c r="L67" s="8">
        <v>2422</v>
      </c>
    </row>
    <row r="68" spans="1:12" ht="15.75">
      <c r="A68" s="1" t="s">
        <v>62</v>
      </c>
      <c r="B68" s="8">
        <v>1288.6666666666667</v>
      </c>
      <c r="C68" s="8">
        <v>2026</v>
      </c>
      <c r="D68" s="8"/>
      <c r="E68" s="8">
        <v>9</v>
      </c>
      <c r="F68" s="8">
        <v>8</v>
      </c>
      <c r="G68" s="8"/>
      <c r="H68" s="8">
        <v>709.6666666666666</v>
      </c>
      <c r="I68" s="8">
        <v>687</v>
      </c>
      <c r="J68" s="8"/>
      <c r="K68" s="8">
        <v>570</v>
      </c>
      <c r="L68" s="8">
        <v>1331</v>
      </c>
    </row>
    <row r="69" spans="1:12" ht="15.75">
      <c r="A69" s="1" t="s">
        <v>63</v>
      </c>
      <c r="B69" s="8">
        <v>775.3333333333334</v>
      </c>
      <c r="C69" s="8">
        <v>1242</v>
      </c>
      <c r="D69" s="8"/>
      <c r="E69" s="8">
        <v>6.666666666666667</v>
      </c>
      <c r="F69" s="8">
        <v>8</v>
      </c>
      <c r="G69" s="8"/>
      <c r="H69" s="8">
        <v>458.6666666666667</v>
      </c>
      <c r="I69" s="8">
        <v>471</v>
      </c>
      <c r="J69" s="8"/>
      <c r="K69" s="8">
        <v>310</v>
      </c>
      <c r="L69" s="8">
        <v>763</v>
      </c>
    </row>
    <row r="70" spans="1:12" ht="15.75">
      <c r="A70" s="1" t="s">
        <v>64</v>
      </c>
      <c r="B70" s="8">
        <v>1253.6666666666667</v>
      </c>
      <c r="C70" s="8">
        <v>1672</v>
      </c>
      <c r="D70" s="8"/>
      <c r="E70" s="8">
        <v>14.333333333333334</v>
      </c>
      <c r="F70" s="8">
        <v>9</v>
      </c>
      <c r="G70" s="8"/>
      <c r="H70" s="8">
        <v>695.6666666666666</v>
      </c>
      <c r="I70" s="8">
        <v>640</v>
      </c>
      <c r="J70" s="8"/>
      <c r="K70" s="8">
        <v>543.6666666666666</v>
      </c>
      <c r="L70" s="8">
        <v>1023</v>
      </c>
    </row>
    <row r="71" spans="1:12" ht="15.75">
      <c r="A71" s="1" t="s">
        <v>65</v>
      </c>
      <c r="B71" s="8">
        <v>14804.333333333334</v>
      </c>
      <c r="C71" s="8">
        <v>17452</v>
      </c>
      <c r="D71" s="8"/>
      <c r="E71" s="8">
        <v>56.333333333333336</v>
      </c>
      <c r="F71" s="8">
        <v>51</v>
      </c>
      <c r="G71" s="8"/>
      <c r="H71" s="8">
        <v>8684.333333333334</v>
      </c>
      <c r="I71" s="8">
        <v>8409</v>
      </c>
      <c r="J71" s="8"/>
      <c r="K71" s="8">
        <v>6063.666666666667</v>
      </c>
      <c r="L71" s="8">
        <v>8992</v>
      </c>
    </row>
    <row r="72" spans="1:12" ht="15.75">
      <c r="A72" s="1" t="s">
        <v>66</v>
      </c>
      <c r="B72" s="8">
        <v>564.6666666666666</v>
      </c>
      <c r="C72" s="8">
        <v>915</v>
      </c>
      <c r="D72" s="8"/>
      <c r="E72" s="8">
        <v>9</v>
      </c>
      <c r="F72" s="8">
        <v>8</v>
      </c>
      <c r="G72" s="8"/>
      <c r="H72" s="8">
        <v>300</v>
      </c>
      <c r="I72" s="8">
        <v>326</v>
      </c>
      <c r="J72" s="8"/>
      <c r="K72" s="8">
        <v>255.66666666666666</v>
      </c>
      <c r="L72" s="8">
        <v>581</v>
      </c>
    </row>
    <row r="73" spans="1:12" ht="15.75">
      <c r="A73" s="1" t="s">
        <v>67</v>
      </c>
      <c r="B73" s="8">
        <v>190</v>
      </c>
      <c r="C73" s="8">
        <v>200</v>
      </c>
      <c r="D73" s="8"/>
      <c r="E73" s="8">
        <v>3</v>
      </c>
      <c r="F73" s="7">
        <v>8</v>
      </c>
      <c r="G73" s="8"/>
      <c r="H73" s="8">
        <v>128.33333333333334</v>
      </c>
      <c r="I73" s="8">
        <v>109</v>
      </c>
      <c r="J73" s="8"/>
      <c r="K73" s="8">
        <v>58.666666666666664</v>
      </c>
      <c r="L73" s="8">
        <v>83</v>
      </c>
    </row>
    <row r="74" spans="1:12" ht="15.75">
      <c r="A74" s="3"/>
      <c r="B74" s="14"/>
      <c r="C74" s="14"/>
      <c r="D74" s="14"/>
      <c r="E74" s="14"/>
      <c r="F74" s="14"/>
      <c r="G74" s="14"/>
      <c r="H74" s="14"/>
      <c r="I74" s="14"/>
      <c r="J74" s="14"/>
      <c r="K74" s="14"/>
      <c r="L74" s="14"/>
    </row>
    <row r="75" spans="1:12" ht="47.25" customHeight="1">
      <c r="A75" s="31" t="s">
        <v>94</v>
      </c>
      <c r="B75" s="31"/>
      <c r="C75" s="31"/>
      <c r="D75" s="31"/>
      <c r="E75" s="31"/>
      <c r="F75" s="31"/>
      <c r="G75" s="31"/>
      <c r="H75" s="31"/>
      <c r="I75" s="31"/>
      <c r="J75" s="31"/>
      <c r="K75" s="31"/>
      <c r="L75" s="31"/>
    </row>
    <row r="76" spans="1:12" ht="15.75">
      <c r="A76" s="21"/>
      <c r="B76" s="22"/>
      <c r="C76" s="22"/>
      <c r="D76" s="22"/>
      <c r="E76" s="22"/>
      <c r="F76" s="22"/>
      <c r="G76" s="22"/>
      <c r="H76" s="22"/>
      <c r="I76" s="22"/>
      <c r="J76" s="22"/>
      <c r="K76" s="22"/>
      <c r="L76" s="22"/>
    </row>
    <row r="77" spans="1:12" ht="34.5" customHeight="1">
      <c r="A77" s="31" t="s">
        <v>107</v>
      </c>
      <c r="B77" s="31"/>
      <c r="C77" s="31"/>
      <c r="D77" s="31"/>
      <c r="E77" s="31"/>
      <c r="F77" s="31"/>
      <c r="G77" s="31"/>
      <c r="H77" s="31"/>
      <c r="I77" s="31"/>
      <c r="J77" s="31"/>
      <c r="K77" s="31"/>
      <c r="L77" s="31"/>
    </row>
    <row r="78" spans="1:12" ht="67.5" customHeight="1">
      <c r="A78" s="28" t="s">
        <v>108</v>
      </c>
      <c r="B78" s="28"/>
      <c r="C78" s="28"/>
      <c r="D78" s="28"/>
      <c r="E78" s="28"/>
      <c r="F78" s="28"/>
      <c r="G78" s="28"/>
      <c r="H78" s="28"/>
      <c r="I78" s="28"/>
      <c r="J78" s="28"/>
      <c r="K78" s="28"/>
      <c r="L78" s="28"/>
    </row>
    <row r="79" spans="1:12" ht="15.75">
      <c r="A79" s="1"/>
      <c r="B79" s="1"/>
      <c r="C79" s="1"/>
      <c r="D79" s="1"/>
      <c r="E79" s="1"/>
      <c r="F79" s="1"/>
      <c r="G79" s="1"/>
      <c r="H79" s="1"/>
      <c r="I79" s="1"/>
      <c r="J79" s="1"/>
      <c r="K79" s="1"/>
      <c r="L79" s="1"/>
    </row>
    <row r="80" spans="1:12" ht="15.75">
      <c r="A80" s="1" t="s">
        <v>68</v>
      </c>
      <c r="B80" s="1"/>
      <c r="C80" s="1"/>
      <c r="D80" s="1"/>
      <c r="E80" s="1"/>
      <c r="F80" s="1"/>
      <c r="G80" s="1"/>
      <c r="H80" s="1"/>
      <c r="I80" s="1"/>
      <c r="J80" s="1"/>
      <c r="K80" s="1"/>
      <c r="L80" s="1"/>
    </row>
    <row r="81" spans="1:12" ht="15.75">
      <c r="A81" s="1"/>
      <c r="B81" s="8"/>
      <c r="C81" s="8"/>
      <c r="D81" s="8"/>
      <c r="E81" s="8"/>
      <c r="F81" s="8"/>
      <c r="G81" s="8"/>
      <c r="H81" s="8"/>
      <c r="I81" s="8"/>
      <c r="J81" s="8"/>
      <c r="K81" s="8"/>
      <c r="L81" s="8"/>
    </row>
    <row r="82" spans="1:12" ht="15.75">
      <c r="A82" s="1"/>
      <c r="B82" s="8"/>
      <c r="C82" s="8"/>
      <c r="D82" s="8"/>
      <c r="E82" s="8"/>
      <c r="F82" s="8"/>
      <c r="G82" s="8"/>
      <c r="H82" s="8"/>
      <c r="I82" s="8"/>
      <c r="J82" s="8"/>
      <c r="K82" s="8"/>
      <c r="L82" s="8"/>
    </row>
    <row r="83" spans="1:12" ht="15.75">
      <c r="A83" s="1"/>
      <c r="B83" s="8"/>
      <c r="C83" s="8"/>
      <c r="D83" s="8"/>
      <c r="E83" s="8"/>
      <c r="F83" s="8"/>
      <c r="G83" s="8"/>
      <c r="H83" s="8"/>
      <c r="I83" s="8"/>
      <c r="J83" s="8"/>
      <c r="K83" s="8"/>
      <c r="L83" s="8"/>
    </row>
    <row r="84" spans="1:12" ht="15.75">
      <c r="A84" s="1"/>
      <c r="B84" s="1"/>
      <c r="C84" s="1"/>
      <c r="D84" s="1"/>
      <c r="E84" s="1"/>
      <c r="F84" s="1"/>
      <c r="G84" s="1"/>
      <c r="H84" s="1"/>
      <c r="I84" s="1"/>
      <c r="J84" s="1"/>
      <c r="K84" s="1"/>
      <c r="L84" s="1"/>
    </row>
    <row r="85" spans="1:12" ht="15.75">
      <c r="A85" s="1"/>
      <c r="B85" s="1"/>
      <c r="C85" s="1"/>
      <c r="D85" s="1"/>
      <c r="E85" s="1"/>
      <c r="F85" s="1"/>
      <c r="G85" s="1"/>
      <c r="H85" s="1"/>
      <c r="I85" s="1"/>
      <c r="J85" s="1"/>
      <c r="K85" s="1"/>
      <c r="L85" s="1"/>
    </row>
    <row r="86" spans="1:12" ht="15.75">
      <c r="A86" s="1"/>
      <c r="B86" s="1"/>
      <c r="C86" s="1"/>
      <c r="D86" s="1"/>
      <c r="E86" s="1"/>
      <c r="F86" s="1"/>
      <c r="G86" s="1"/>
      <c r="H86" s="1"/>
      <c r="I86" s="1"/>
      <c r="J86" s="1"/>
      <c r="K86" s="1"/>
      <c r="L86" s="1"/>
    </row>
    <row r="87" spans="1:12" ht="15.75">
      <c r="A87" s="1"/>
      <c r="B87" s="9"/>
      <c r="C87" s="9"/>
      <c r="D87" s="11"/>
      <c r="E87" s="11"/>
      <c r="F87" s="11"/>
      <c r="G87" s="11"/>
      <c r="H87" s="11"/>
      <c r="I87" s="11"/>
      <c r="J87" s="1"/>
      <c r="K87" s="1"/>
      <c r="L87" s="1"/>
    </row>
    <row r="88" spans="1:12" ht="15.75">
      <c r="A88" s="1"/>
      <c r="B88" s="9"/>
      <c r="C88" s="9"/>
      <c r="D88" s="11"/>
      <c r="E88" s="11"/>
      <c r="F88" s="11"/>
      <c r="G88" s="11"/>
      <c r="H88" s="11"/>
      <c r="I88" s="11"/>
      <c r="J88" s="1"/>
      <c r="K88" s="1"/>
      <c r="L88" s="1"/>
    </row>
    <row r="89" spans="1:12" ht="15.75">
      <c r="A89" s="1"/>
      <c r="B89" s="9"/>
      <c r="C89" s="9"/>
      <c r="D89" s="11"/>
      <c r="E89" s="11"/>
      <c r="F89" s="11"/>
      <c r="G89" s="11"/>
      <c r="H89" s="11"/>
      <c r="I89" s="11"/>
      <c r="J89" s="1"/>
      <c r="K89" s="1"/>
      <c r="L89" s="1"/>
    </row>
    <row r="90" spans="1:12" ht="15.75">
      <c r="A90" s="1"/>
      <c r="B90" s="9"/>
      <c r="C90" s="9"/>
      <c r="D90" s="11"/>
      <c r="E90" s="11"/>
      <c r="F90" s="11"/>
      <c r="G90" s="11"/>
      <c r="H90" s="11"/>
      <c r="I90" s="11"/>
      <c r="J90" s="1"/>
      <c r="K90" s="1"/>
      <c r="L90" s="1"/>
    </row>
    <row r="91" spans="1:12" ht="15.75">
      <c r="A91" s="1"/>
      <c r="B91" s="9"/>
      <c r="C91" s="9"/>
      <c r="D91" s="11"/>
      <c r="E91" s="11"/>
      <c r="F91" s="11"/>
      <c r="G91" s="11"/>
      <c r="H91" s="11"/>
      <c r="I91" s="11"/>
      <c r="J91" s="1"/>
      <c r="K91" s="1"/>
      <c r="L91" s="1"/>
    </row>
    <row r="92" spans="1:12" ht="15.75">
      <c r="A92" s="1"/>
      <c r="B92" s="1"/>
      <c r="C92" s="1"/>
      <c r="D92" s="1"/>
      <c r="E92" s="1"/>
      <c r="F92" s="1"/>
      <c r="G92" s="1"/>
      <c r="H92" s="1"/>
      <c r="I92" s="1"/>
      <c r="J92" s="1"/>
      <c r="K92" s="1"/>
      <c r="L92" s="1"/>
    </row>
    <row r="93" spans="1:12" ht="15.75">
      <c r="A93" s="1"/>
      <c r="B93" s="1"/>
      <c r="C93" s="1"/>
      <c r="D93" s="1"/>
      <c r="E93" s="1"/>
      <c r="F93" s="1"/>
      <c r="G93" s="1"/>
      <c r="H93" s="1"/>
      <c r="I93" s="1"/>
      <c r="J93" s="1"/>
      <c r="K93" s="1"/>
      <c r="L93" s="1"/>
    </row>
    <row r="94" spans="1:12" ht="15.75">
      <c r="A94" s="1"/>
      <c r="B94" s="1"/>
      <c r="C94" s="1"/>
      <c r="D94" s="1"/>
      <c r="E94" s="1"/>
      <c r="F94" s="1"/>
      <c r="G94" s="1"/>
      <c r="H94" s="1"/>
      <c r="I94" s="1"/>
      <c r="J94" s="1"/>
      <c r="K94" s="1"/>
      <c r="L94" s="1"/>
    </row>
    <row r="95" spans="1:12" ht="15.75">
      <c r="A95" s="1"/>
      <c r="B95" s="1"/>
      <c r="C95" s="1"/>
      <c r="D95" s="1"/>
      <c r="E95" s="1"/>
      <c r="F95" s="1"/>
      <c r="G95" s="1"/>
      <c r="H95" s="1"/>
      <c r="I95" s="1"/>
      <c r="J95" s="1"/>
      <c r="K95" s="1"/>
      <c r="L95" s="1"/>
    </row>
    <row r="96" spans="1:12" ht="15.75">
      <c r="A96" s="1"/>
      <c r="B96" s="1"/>
      <c r="C96" s="1"/>
      <c r="D96" s="1"/>
      <c r="E96" s="1"/>
      <c r="F96" s="1"/>
      <c r="G96" s="1"/>
      <c r="H96" s="1"/>
      <c r="I96" s="1"/>
      <c r="J96" s="1"/>
      <c r="K96" s="1"/>
      <c r="L96" s="1"/>
    </row>
    <row r="97" spans="1:12" ht="15.75">
      <c r="A97" s="1"/>
      <c r="B97" s="1"/>
      <c r="C97" s="1"/>
      <c r="D97" s="1"/>
      <c r="E97" s="1"/>
      <c r="F97" s="1"/>
      <c r="G97" s="1"/>
      <c r="H97" s="1"/>
      <c r="I97" s="1"/>
      <c r="J97" s="1"/>
      <c r="K97" s="1"/>
      <c r="L97" s="1"/>
    </row>
    <row r="98" spans="1:12" ht="15.75">
      <c r="A98" s="1"/>
      <c r="B98" s="1"/>
      <c r="C98" s="1"/>
      <c r="D98" s="1"/>
      <c r="E98" s="1"/>
      <c r="F98" s="1"/>
      <c r="G98" s="1"/>
      <c r="H98" s="1"/>
      <c r="I98" s="1"/>
      <c r="J98" s="1"/>
      <c r="K98" s="1"/>
      <c r="L98" s="1"/>
    </row>
    <row r="99" spans="1:12" ht="15.75">
      <c r="A99" s="1"/>
      <c r="B99" s="1"/>
      <c r="C99" s="1"/>
      <c r="D99" s="1"/>
      <c r="E99" s="1"/>
      <c r="F99" s="1"/>
      <c r="G99" s="1"/>
      <c r="H99" s="1"/>
      <c r="I99" s="1"/>
      <c r="J99" s="1"/>
      <c r="K99" s="1"/>
      <c r="L99" s="1"/>
    </row>
    <row r="100" spans="1:12" ht="15.75">
      <c r="A100" s="1"/>
      <c r="B100" s="1"/>
      <c r="C100" s="1"/>
      <c r="D100" s="1"/>
      <c r="E100" s="1"/>
      <c r="F100" s="1"/>
      <c r="G100" s="1"/>
      <c r="H100" s="1"/>
      <c r="I100" s="1"/>
      <c r="J100" s="1"/>
      <c r="K100" s="1"/>
      <c r="L100" s="1"/>
    </row>
  </sheetData>
  <sheetProtection/>
  <mergeCells count="7">
    <mergeCell ref="A78:L78"/>
    <mergeCell ref="B4:C4"/>
    <mergeCell ref="E4:F4"/>
    <mergeCell ref="H4:I4"/>
    <mergeCell ref="K4:L4"/>
    <mergeCell ref="A75:L75"/>
    <mergeCell ref="A77:L7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89"/>
  <sheetViews>
    <sheetView zoomScalePageLayoutView="0" workbookViewId="0" topLeftCell="A1">
      <selection activeCell="A1" sqref="A1"/>
    </sheetView>
  </sheetViews>
  <sheetFormatPr defaultColWidth="8.88671875" defaultRowHeight="15.75"/>
  <cols>
    <col min="1" max="1" width="25.77734375" style="0" customWidth="1"/>
    <col min="2" max="3" width="10.77734375" style="0" customWidth="1"/>
    <col min="4" max="4" width="2.77734375" style="0" customWidth="1"/>
    <col min="5" max="6" width="10.77734375" style="0" customWidth="1"/>
    <col min="7" max="7" width="2.77734375" style="0" customWidth="1"/>
    <col min="8" max="9" width="10.77734375" style="0" customWidth="1"/>
    <col min="10" max="10" width="2.77734375" style="0" customWidth="1"/>
    <col min="11" max="16384" width="10.77734375" style="0" customWidth="1"/>
  </cols>
  <sheetData>
    <row r="1" spans="1:12" ht="20.25">
      <c r="A1" s="12" t="s">
        <v>0</v>
      </c>
      <c r="B1" s="1"/>
      <c r="C1" s="2"/>
      <c r="D1" s="1"/>
      <c r="E1" s="1"/>
      <c r="F1" s="1"/>
      <c r="G1" s="1"/>
      <c r="H1" s="1"/>
      <c r="I1" s="1"/>
      <c r="J1" s="1"/>
      <c r="K1" s="1"/>
      <c r="L1" s="1"/>
    </row>
    <row r="2" spans="1:12" ht="20.25">
      <c r="A2" s="12" t="s">
        <v>109</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103</v>
      </c>
      <c r="C4" s="30"/>
      <c r="D4" s="3"/>
      <c r="E4" s="30" t="s">
        <v>69</v>
      </c>
      <c r="F4" s="30"/>
      <c r="G4" s="3"/>
      <c r="H4" s="30" t="s">
        <v>70</v>
      </c>
      <c r="I4" s="30"/>
      <c r="J4" s="3"/>
      <c r="K4" s="30" t="s">
        <v>104</v>
      </c>
      <c r="L4" s="30"/>
    </row>
    <row r="5" spans="1:12" ht="29.25">
      <c r="A5" s="4" t="s">
        <v>1</v>
      </c>
      <c r="B5" s="17" t="s">
        <v>112</v>
      </c>
      <c r="C5" s="5">
        <v>1998</v>
      </c>
      <c r="D5" s="4"/>
      <c r="E5" s="17" t="s">
        <v>112</v>
      </c>
      <c r="F5" s="5">
        <v>1998</v>
      </c>
      <c r="G5" s="4"/>
      <c r="H5" s="17" t="s">
        <v>112</v>
      </c>
      <c r="I5" s="5">
        <v>1998</v>
      </c>
      <c r="J5" s="4"/>
      <c r="K5" s="17" t="s">
        <v>112</v>
      </c>
      <c r="L5" s="5">
        <v>1998</v>
      </c>
    </row>
    <row r="6" spans="1:12" ht="15.75">
      <c r="A6" s="1"/>
      <c r="B6" s="1"/>
      <c r="C6" s="2"/>
      <c r="D6" s="1"/>
      <c r="E6" s="1"/>
      <c r="F6" s="1"/>
      <c r="G6" s="1"/>
      <c r="H6" s="6"/>
      <c r="I6" s="1"/>
      <c r="J6" s="1"/>
      <c r="K6" s="1"/>
      <c r="L6" s="1"/>
    </row>
    <row r="7" spans="1:12" ht="15.75">
      <c r="A7" s="35" t="s">
        <v>2</v>
      </c>
      <c r="B7" s="36">
        <v>255802.3333333333</v>
      </c>
      <c r="C7" s="36">
        <v>306533</v>
      </c>
      <c r="D7" s="36" t="s">
        <v>3</v>
      </c>
      <c r="E7" s="36">
        <v>1500.1666666666665</v>
      </c>
      <c r="F7" s="36">
        <v>1395</v>
      </c>
      <c r="G7" s="36"/>
      <c r="H7" s="36">
        <v>185831.3333333333</v>
      </c>
      <c r="I7" s="36">
        <v>181766</v>
      </c>
      <c r="J7" s="36"/>
      <c r="K7" s="36">
        <v>105090</v>
      </c>
      <c r="L7" s="36">
        <v>123372</v>
      </c>
    </row>
    <row r="8" spans="1:12" ht="15.75">
      <c r="A8" s="35"/>
      <c r="B8" s="36"/>
      <c r="C8" s="36"/>
      <c r="D8" s="36"/>
      <c r="E8" s="36"/>
      <c r="F8" s="36"/>
      <c r="G8" s="36" t="s">
        <v>3</v>
      </c>
      <c r="H8" s="36"/>
      <c r="I8" s="36"/>
      <c r="J8" s="36" t="s">
        <v>3</v>
      </c>
      <c r="K8" s="36"/>
      <c r="L8" s="36"/>
    </row>
    <row r="9" spans="1:12" ht="15.75">
      <c r="A9" s="35" t="s">
        <v>4</v>
      </c>
      <c r="B9" s="36">
        <v>94672.33333333333</v>
      </c>
      <c r="C9" s="36">
        <v>95122</v>
      </c>
      <c r="D9" s="36" t="s">
        <v>3</v>
      </c>
      <c r="E9" s="36">
        <v>414.00000000000006</v>
      </c>
      <c r="F9" s="36">
        <v>357</v>
      </c>
      <c r="G9" s="36"/>
      <c r="H9" s="36">
        <v>79179.33333333333</v>
      </c>
      <c r="I9" s="36">
        <v>80399</v>
      </c>
      <c r="J9" s="36"/>
      <c r="K9" s="36">
        <v>15079</v>
      </c>
      <c r="L9" s="36">
        <v>14366</v>
      </c>
    </row>
    <row r="10" spans="1:12" ht="15.75">
      <c r="A10" s="35" t="s">
        <v>5</v>
      </c>
      <c r="B10" s="36">
        <v>13193.666666666666</v>
      </c>
      <c r="C10" s="36">
        <v>13272</v>
      </c>
      <c r="D10" s="36"/>
      <c r="E10" s="36">
        <v>66.66666666666667</v>
      </c>
      <c r="F10" s="36">
        <v>49</v>
      </c>
      <c r="G10" s="36"/>
      <c r="H10" s="36">
        <v>10921.333333333334</v>
      </c>
      <c r="I10" s="36">
        <v>11071</v>
      </c>
      <c r="J10" s="36"/>
      <c r="K10" s="36">
        <v>2205.6666666666665</v>
      </c>
      <c r="L10" s="36">
        <v>2152</v>
      </c>
    </row>
    <row r="11" spans="1:12" ht="15.75">
      <c r="A11" s="35" t="s">
        <v>6</v>
      </c>
      <c r="B11" s="36">
        <v>29134</v>
      </c>
      <c r="C11" s="36">
        <v>30082</v>
      </c>
      <c r="D11" s="36"/>
      <c r="E11" s="36">
        <v>120</v>
      </c>
      <c r="F11" s="36">
        <v>115</v>
      </c>
      <c r="G11" s="36"/>
      <c r="H11" s="36">
        <v>25636</v>
      </c>
      <c r="I11" s="36">
        <v>26721</v>
      </c>
      <c r="J11" s="36"/>
      <c r="K11" s="36">
        <v>3378</v>
      </c>
      <c r="L11" s="36">
        <v>3246</v>
      </c>
    </row>
    <row r="12" spans="1:12" ht="15.75">
      <c r="A12" s="35" t="s">
        <v>7</v>
      </c>
      <c r="B12" s="36">
        <v>19214.666666666668</v>
      </c>
      <c r="C12" s="36">
        <v>18176</v>
      </c>
      <c r="D12" s="36"/>
      <c r="E12" s="36">
        <v>87</v>
      </c>
      <c r="F12" s="36">
        <v>59</v>
      </c>
      <c r="G12" s="36"/>
      <c r="H12" s="36">
        <v>15928.666666666666</v>
      </c>
      <c r="I12" s="36">
        <v>15243</v>
      </c>
      <c r="J12" s="36"/>
      <c r="K12" s="36">
        <v>3199</v>
      </c>
      <c r="L12" s="36">
        <v>2874</v>
      </c>
    </row>
    <row r="13" spans="1:12" ht="15.75">
      <c r="A13" s="35" t="s">
        <v>8</v>
      </c>
      <c r="B13" s="36">
        <v>27878.666666666668</v>
      </c>
      <c r="C13" s="36">
        <v>28274</v>
      </c>
      <c r="D13" s="36"/>
      <c r="E13" s="36">
        <v>123.66666666666667</v>
      </c>
      <c r="F13" s="36">
        <v>112</v>
      </c>
      <c r="G13" s="36"/>
      <c r="H13" s="36">
        <v>22505</v>
      </c>
      <c r="I13" s="36">
        <v>23160</v>
      </c>
      <c r="J13" s="36"/>
      <c r="K13" s="36">
        <v>5250</v>
      </c>
      <c r="L13" s="36">
        <v>5002</v>
      </c>
    </row>
    <row r="14" spans="1:12" ht="15.75">
      <c r="A14" s="35" t="s">
        <v>9</v>
      </c>
      <c r="B14" s="36">
        <v>5251.333333333333</v>
      </c>
      <c r="C14" s="36">
        <v>5318</v>
      </c>
      <c r="D14" s="36"/>
      <c r="E14" s="36">
        <v>16.666666666666668</v>
      </c>
      <c r="F14" s="36">
        <v>22</v>
      </c>
      <c r="G14" s="36"/>
      <c r="H14" s="36">
        <v>4188.333333333333</v>
      </c>
      <c r="I14" s="36">
        <v>4204</v>
      </c>
      <c r="J14" s="36"/>
      <c r="K14" s="36">
        <v>1046.3333333333333</v>
      </c>
      <c r="L14" s="36">
        <v>1092</v>
      </c>
    </row>
    <row r="15" spans="1:12" ht="15.75">
      <c r="A15" s="35"/>
      <c r="B15" s="36"/>
      <c r="C15" s="36"/>
      <c r="D15" s="36"/>
      <c r="E15" s="36"/>
      <c r="F15" s="36"/>
      <c r="G15" s="36"/>
      <c r="H15" s="36"/>
      <c r="I15" s="36"/>
      <c r="J15" s="36"/>
      <c r="K15" s="36"/>
      <c r="L15" s="36"/>
    </row>
    <row r="16" spans="1:12" ht="15.75">
      <c r="A16" s="35" t="s">
        <v>10</v>
      </c>
      <c r="B16" s="36">
        <v>161130</v>
      </c>
      <c r="C16" s="36">
        <v>211411</v>
      </c>
      <c r="D16" s="36" t="s">
        <v>3</v>
      </c>
      <c r="E16" s="36">
        <v>1086.1666666666665</v>
      </c>
      <c r="F16" s="36">
        <v>1038</v>
      </c>
      <c r="G16" s="36"/>
      <c r="H16" s="36">
        <v>106652</v>
      </c>
      <c r="I16" s="36">
        <v>101367</v>
      </c>
      <c r="J16" s="36"/>
      <c r="K16" s="36">
        <v>90011</v>
      </c>
      <c r="L16" s="36">
        <v>109006</v>
      </c>
    </row>
    <row r="17" spans="1:12" ht="15.75">
      <c r="A17" s="35" t="s">
        <v>11</v>
      </c>
      <c r="B17" s="36">
        <v>4798.666666666667</v>
      </c>
      <c r="C17" s="36">
        <v>6286</v>
      </c>
      <c r="D17" s="36"/>
      <c r="E17" s="36">
        <v>17</v>
      </c>
      <c r="F17" s="36">
        <v>19</v>
      </c>
      <c r="G17" s="36"/>
      <c r="H17" s="36">
        <v>3188.6666666666665</v>
      </c>
      <c r="I17" s="36">
        <v>2989</v>
      </c>
      <c r="J17" s="36"/>
      <c r="K17" s="36">
        <v>1593</v>
      </c>
      <c r="L17" s="36">
        <v>3278</v>
      </c>
    </row>
    <row r="18" spans="1:12" ht="15.75">
      <c r="A18" s="35" t="s">
        <v>12</v>
      </c>
      <c r="B18" s="36">
        <v>566.6666666666666</v>
      </c>
      <c r="C18" s="36">
        <v>669</v>
      </c>
      <c r="D18" s="36"/>
      <c r="E18" s="36">
        <v>7.666666666666667</v>
      </c>
      <c r="F18" s="36">
        <v>6</v>
      </c>
      <c r="G18" s="36"/>
      <c r="H18" s="36">
        <v>353.6666666666667</v>
      </c>
      <c r="I18" s="36">
        <v>299</v>
      </c>
      <c r="J18" s="36"/>
      <c r="K18" s="36">
        <v>205.33333333333334</v>
      </c>
      <c r="L18" s="36">
        <v>364</v>
      </c>
    </row>
    <row r="19" spans="1:12" ht="15.75">
      <c r="A19" s="35" t="s">
        <v>13</v>
      </c>
      <c r="B19" s="36">
        <v>2657.6666666666665</v>
      </c>
      <c r="C19" s="36">
        <v>3582</v>
      </c>
      <c r="D19" s="36"/>
      <c r="E19" s="36">
        <v>15</v>
      </c>
      <c r="F19" s="36">
        <v>22</v>
      </c>
      <c r="G19" s="36"/>
      <c r="H19" s="36">
        <v>1809.6666666666667</v>
      </c>
      <c r="I19" s="36">
        <v>1594</v>
      </c>
      <c r="J19" s="36"/>
      <c r="K19" s="36">
        <v>833</v>
      </c>
      <c r="L19" s="36">
        <v>1966</v>
      </c>
    </row>
    <row r="20" spans="1:12" ht="15.75">
      <c r="A20" s="35" t="s">
        <v>14</v>
      </c>
      <c r="B20" s="36">
        <v>994.6666666666666</v>
      </c>
      <c r="C20" s="36">
        <v>1053</v>
      </c>
      <c r="D20" s="36"/>
      <c r="E20" s="36">
        <v>11.333333333333334</v>
      </c>
      <c r="F20" s="36">
        <v>10</v>
      </c>
      <c r="G20" s="36"/>
      <c r="H20" s="36">
        <v>663.3333333333334</v>
      </c>
      <c r="I20" s="36">
        <v>616</v>
      </c>
      <c r="J20" s="36"/>
      <c r="K20" s="36">
        <v>320</v>
      </c>
      <c r="L20" s="36">
        <v>427</v>
      </c>
    </row>
    <row r="21" spans="1:12" ht="15.75">
      <c r="A21" s="35" t="s">
        <v>15</v>
      </c>
      <c r="B21" s="36">
        <v>978</v>
      </c>
      <c r="C21" s="36">
        <v>1244</v>
      </c>
      <c r="D21" s="36"/>
      <c r="E21" s="36">
        <v>13</v>
      </c>
      <c r="F21" s="36">
        <v>8</v>
      </c>
      <c r="G21" s="36"/>
      <c r="H21" s="36">
        <v>707</v>
      </c>
      <c r="I21" s="36">
        <v>609</v>
      </c>
      <c r="J21" s="36"/>
      <c r="K21" s="36">
        <v>258</v>
      </c>
      <c r="L21" s="36">
        <v>627</v>
      </c>
    </row>
    <row r="22" spans="1:12" ht="15.75">
      <c r="A22" s="35" t="s">
        <v>16</v>
      </c>
      <c r="B22" s="36">
        <v>1825</v>
      </c>
      <c r="C22" s="36">
        <v>2557</v>
      </c>
      <c r="D22" s="36"/>
      <c r="E22" s="36">
        <v>25</v>
      </c>
      <c r="F22" s="36">
        <v>15</v>
      </c>
      <c r="G22" s="36"/>
      <c r="H22" s="36">
        <v>1209.6666666666667</v>
      </c>
      <c r="I22" s="36">
        <v>1074</v>
      </c>
      <c r="J22" s="36"/>
      <c r="K22" s="36">
        <v>590.3333333333334</v>
      </c>
      <c r="L22" s="36">
        <v>1468</v>
      </c>
    </row>
    <row r="23" spans="1:12" ht="15.75">
      <c r="A23" s="35" t="s">
        <v>17</v>
      </c>
      <c r="B23" s="36">
        <v>918</v>
      </c>
      <c r="C23" s="36">
        <v>1304</v>
      </c>
      <c r="D23" s="36"/>
      <c r="E23" s="36">
        <v>7.333333333333333</v>
      </c>
      <c r="F23" s="36">
        <v>8</v>
      </c>
      <c r="G23" s="36"/>
      <c r="H23" s="36">
        <v>647.6666666666666</v>
      </c>
      <c r="I23" s="36">
        <v>697</v>
      </c>
      <c r="J23" s="36"/>
      <c r="K23" s="36">
        <v>263</v>
      </c>
      <c r="L23" s="36">
        <v>599</v>
      </c>
    </row>
    <row r="24" spans="1:12" ht="15.75">
      <c r="A24" s="35" t="s">
        <v>18</v>
      </c>
      <c r="B24" s="36">
        <v>648</v>
      </c>
      <c r="C24" s="36">
        <v>924</v>
      </c>
      <c r="D24" s="36"/>
      <c r="E24" s="36">
        <v>9</v>
      </c>
      <c r="F24" s="36">
        <v>5</v>
      </c>
      <c r="G24" s="36"/>
      <c r="H24" s="36">
        <v>425</v>
      </c>
      <c r="I24" s="36">
        <v>370</v>
      </c>
      <c r="J24" s="36"/>
      <c r="K24" s="36">
        <v>214</v>
      </c>
      <c r="L24" s="36">
        <v>549</v>
      </c>
    </row>
    <row r="25" spans="1:12" ht="15.75">
      <c r="A25" s="35" t="s">
        <v>19</v>
      </c>
      <c r="B25" s="36">
        <v>910</v>
      </c>
      <c r="C25" s="36">
        <v>1255</v>
      </c>
      <c r="D25" s="36"/>
      <c r="E25" s="36">
        <v>13</v>
      </c>
      <c r="F25" s="36">
        <v>6</v>
      </c>
      <c r="G25" s="36"/>
      <c r="H25" s="36">
        <v>625.3333333333334</v>
      </c>
      <c r="I25" s="36">
        <v>621</v>
      </c>
      <c r="J25" s="36"/>
      <c r="K25" s="36">
        <v>271.6666666666667</v>
      </c>
      <c r="L25" s="36">
        <v>628</v>
      </c>
    </row>
    <row r="26" spans="1:12" ht="15.75">
      <c r="A26" s="35" t="s">
        <v>20</v>
      </c>
      <c r="B26" s="36">
        <v>930</v>
      </c>
      <c r="C26" s="36">
        <v>1308</v>
      </c>
      <c r="D26" s="36"/>
      <c r="E26" s="36">
        <v>11</v>
      </c>
      <c r="F26" s="36">
        <v>14</v>
      </c>
      <c r="G26" s="36"/>
      <c r="H26" s="36">
        <v>579.3333333333334</v>
      </c>
      <c r="I26" s="36">
        <v>557</v>
      </c>
      <c r="J26" s="36"/>
      <c r="K26" s="36">
        <v>339.6666666666667</v>
      </c>
      <c r="L26" s="36">
        <v>737</v>
      </c>
    </row>
    <row r="27" spans="1:12" ht="15.75">
      <c r="A27" s="35" t="s">
        <v>21</v>
      </c>
      <c r="B27" s="36">
        <v>728</v>
      </c>
      <c r="C27" s="36">
        <v>1130</v>
      </c>
      <c r="D27" s="36"/>
      <c r="E27" s="36">
        <v>7</v>
      </c>
      <c r="F27" s="36">
        <v>7</v>
      </c>
      <c r="G27" s="36"/>
      <c r="H27" s="36">
        <v>462</v>
      </c>
      <c r="I27" s="36">
        <v>392</v>
      </c>
      <c r="J27" s="36"/>
      <c r="K27" s="36">
        <v>259</v>
      </c>
      <c r="L27" s="36">
        <v>731</v>
      </c>
    </row>
    <row r="28" spans="1:12" ht="15.75">
      <c r="A28" s="35" t="s">
        <v>22</v>
      </c>
      <c r="B28" s="36">
        <v>663.6666666666666</v>
      </c>
      <c r="C28" s="36">
        <v>898</v>
      </c>
      <c r="D28" s="36"/>
      <c r="E28" s="36">
        <v>6.333333333333333</v>
      </c>
      <c r="F28" s="36">
        <v>6</v>
      </c>
      <c r="G28" s="36"/>
      <c r="H28" s="36">
        <v>429.3333333333333</v>
      </c>
      <c r="I28" s="36">
        <v>371</v>
      </c>
      <c r="J28" s="36"/>
      <c r="K28" s="36">
        <v>228</v>
      </c>
      <c r="L28" s="36">
        <v>521</v>
      </c>
    </row>
    <row r="29" spans="1:12" ht="15.75">
      <c r="A29" s="35" t="s">
        <v>23</v>
      </c>
      <c r="B29" s="36">
        <v>4455.333333333333</v>
      </c>
      <c r="C29" s="36">
        <v>5815</v>
      </c>
      <c r="D29" s="36"/>
      <c r="E29" s="36">
        <v>27.666666666666668</v>
      </c>
      <c r="F29" s="36">
        <v>27</v>
      </c>
      <c r="G29" s="36"/>
      <c r="H29" s="36">
        <v>2843.3333333333335</v>
      </c>
      <c r="I29" s="36">
        <v>2646</v>
      </c>
      <c r="J29" s="36"/>
      <c r="K29" s="36">
        <v>1584.3333333333333</v>
      </c>
      <c r="L29" s="36">
        <v>3142</v>
      </c>
    </row>
    <row r="30" spans="1:12" ht="15.75">
      <c r="A30" s="35" t="s">
        <v>24</v>
      </c>
      <c r="B30" s="36">
        <v>12297.333333333334</v>
      </c>
      <c r="C30" s="36">
        <v>13450</v>
      </c>
      <c r="D30" s="36"/>
      <c r="E30" s="36">
        <v>83.33333333333333</v>
      </c>
      <c r="F30" s="36">
        <v>75</v>
      </c>
      <c r="G30" s="36"/>
      <c r="H30" s="36">
        <v>8359.333333333334</v>
      </c>
      <c r="I30" s="36">
        <v>7709</v>
      </c>
      <c r="J30" s="36"/>
      <c r="K30" s="36">
        <v>3854.6666666666665</v>
      </c>
      <c r="L30" s="36">
        <v>5666</v>
      </c>
    </row>
    <row r="31" spans="1:12" ht="15.75">
      <c r="A31" s="35" t="s">
        <v>25</v>
      </c>
      <c r="B31" s="36">
        <v>581.6666666666666</v>
      </c>
      <c r="C31" s="36">
        <v>653</v>
      </c>
      <c r="D31" s="36"/>
      <c r="E31" s="36">
        <v>8.666666666666666</v>
      </c>
      <c r="F31" s="36">
        <v>5</v>
      </c>
      <c r="G31" s="36"/>
      <c r="H31" s="36">
        <v>352</v>
      </c>
      <c r="I31" s="36">
        <v>315</v>
      </c>
      <c r="J31" s="36"/>
      <c r="K31" s="36">
        <v>221</v>
      </c>
      <c r="L31" s="36">
        <v>333</v>
      </c>
    </row>
    <row r="32" spans="1:12" ht="15.75">
      <c r="A32" s="35" t="s">
        <v>26</v>
      </c>
      <c r="B32" s="36">
        <v>590.6666666666666</v>
      </c>
      <c r="C32" s="36">
        <v>774</v>
      </c>
      <c r="D32" s="36"/>
      <c r="E32" s="36">
        <v>6.666666666666667</v>
      </c>
      <c r="F32" s="36">
        <v>2</v>
      </c>
      <c r="G32" s="36"/>
      <c r="H32" s="36">
        <v>372.3333333333333</v>
      </c>
      <c r="I32" s="36">
        <v>371</v>
      </c>
      <c r="J32" s="36"/>
      <c r="K32" s="36">
        <v>211.66666666666666</v>
      </c>
      <c r="L32" s="36">
        <v>401</v>
      </c>
    </row>
    <row r="33" spans="1:12" ht="15.75">
      <c r="A33" s="35" t="s">
        <v>27</v>
      </c>
      <c r="B33" s="36">
        <v>706.3333333333334</v>
      </c>
      <c r="C33" s="36">
        <v>999</v>
      </c>
      <c r="D33" s="36"/>
      <c r="E33" s="36">
        <v>7.666666666666667</v>
      </c>
      <c r="F33" s="36">
        <v>5</v>
      </c>
      <c r="G33" s="36"/>
      <c r="H33" s="36">
        <v>502.3333333333333</v>
      </c>
      <c r="I33" s="36">
        <v>451</v>
      </c>
      <c r="J33" s="36"/>
      <c r="K33" s="36">
        <v>196.33333333333334</v>
      </c>
      <c r="L33" s="36">
        <v>543</v>
      </c>
    </row>
    <row r="34" spans="1:12" ht="15.75">
      <c r="A34" s="35" t="s">
        <v>28</v>
      </c>
      <c r="B34" s="36">
        <v>993</v>
      </c>
      <c r="C34" s="36">
        <v>1566</v>
      </c>
      <c r="D34" s="36"/>
      <c r="E34" s="36">
        <v>14</v>
      </c>
      <c r="F34" s="36">
        <v>11</v>
      </c>
      <c r="G34" s="36"/>
      <c r="H34" s="36">
        <v>626.6666666666666</v>
      </c>
      <c r="I34" s="36">
        <v>578</v>
      </c>
      <c r="J34" s="36"/>
      <c r="K34" s="36">
        <v>352.3333333333333</v>
      </c>
      <c r="L34" s="36">
        <v>977</v>
      </c>
    </row>
    <row r="35" spans="1:12" ht="15.75">
      <c r="A35" s="35" t="s">
        <v>29</v>
      </c>
      <c r="B35" s="36">
        <v>640.3333333333334</v>
      </c>
      <c r="C35" s="36">
        <v>876</v>
      </c>
      <c r="D35" s="36"/>
      <c r="E35" s="36">
        <v>12.333333333333334</v>
      </c>
      <c r="F35" s="36">
        <v>9</v>
      </c>
      <c r="G35" s="36"/>
      <c r="H35" s="36">
        <v>421.3333333333333</v>
      </c>
      <c r="I35" s="36">
        <v>374</v>
      </c>
      <c r="J35" s="36"/>
      <c r="K35" s="36">
        <v>206.66666666666666</v>
      </c>
      <c r="L35" s="36">
        <v>493</v>
      </c>
    </row>
    <row r="36" spans="1:12" ht="15.75">
      <c r="A36" s="35" t="s">
        <v>30</v>
      </c>
      <c r="B36" s="36">
        <v>120.33333333333333</v>
      </c>
      <c r="C36" s="36">
        <v>118</v>
      </c>
      <c r="D36" s="36"/>
      <c r="E36" s="37">
        <v>0</v>
      </c>
      <c r="F36" s="37">
        <v>3</v>
      </c>
      <c r="G36" s="36"/>
      <c r="H36" s="36">
        <v>60.666666666666664</v>
      </c>
      <c r="I36" s="36">
        <v>39</v>
      </c>
      <c r="J36" s="36"/>
      <c r="K36" s="36">
        <v>59.666666666666664</v>
      </c>
      <c r="L36" s="36">
        <v>76</v>
      </c>
    </row>
    <row r="37" spans="1:12" ht="15.75">
      <c r="A37" s="35" t="s">
        <v>31</v>
      </c>
      <c r="B37" s="36">
        <v>693</v>
      </c>
      <c r="C37" s="36">
        <v>840</v>
      </c>
      <c r="D37" s="36"/>
      <c r="E37" s="36">
        <v>7</v>
      </c>
      <c r="F37" s="36">
        <v>6</v>
      </c>
      <c r="G37" s="36"/>
      <c r="H37" s="36">
        <v>459.6666666666667</v>
      </c>
      <c r="I37" s="36">
        <v>400</v>
      </c>
      <c r="J37" s="36"/>
      <c r="K37" s="36">
        <v>226.33333333333334</v>
      </c>
      <c r="L37" s="36">
        <v>434</v>
      </c>
    </row>
    <row r="38" spans="1:12" ht="15.75">
      <c r="A38" s="35" t="s">
        <v>32</v>
      </c>
      <c r="B38" s="36">
        <v>1405.6666666666667</v>
      </c>
      <c r="C38" s="36">
        <v>1820</v>
      </c>
      <c r="D38" s="36"/>
      <c r="E38" s="36">
        <v>9</v>
      </c>
      <c r="F38" s="36">
        <v>11</v>
      </c>
      <c r="G38" s="36"/>
      <c r="H38" s="36">
        <v>903</v>
      </c>
      <c r="I38" s="36">
        <v>788</v>
      </c>
      <c r="J38" s="36"/>
      <c r="K38" s="36">
        <v>493.6666666666667</v>
      </c>
      <c r="L38" s="36">
        <v>1021</v>
      </c>
    </row>
    <row r="39" spans="1:12" ht="15.75">
      <c r="A39" s="35" t="s">
        <v>33</v>
      </c>
      <c r="B39" s="36">
        <v>360</v>
      </c>
      <c r="C39" s="36">
        <v>453</v>
      </c>
      <c r="D39" s="36"/>
      <c r="E39" s="36">
        <v>5</v>
      </c>
      <c r="F39" s="36">
        <v>5</v>
      </c>
      <c r="G39" s="36"/>
      <c r="H39" s="36">
        <v>189</v>
      </c>
      <c r="I39" s="36">
        <v>157</v>
      </c>
      <c r="J39" s="36"/>
      <c r="K39" s="36">
        <v>166</v>
      </c>
      <c r="L39" s="36">
        <v>291</v>
      </c>
    </row>
    <row r="40" spans="1:12" ht="15.75">
      <c r="A40" s="35" t="s">
        <v>34</v>
      </c>
      <c r="B40" s="36">
        <v>800.6666666666666</v>
      </c>
      <c r="C40" s="36">
        <v>1319</v>
      </c>
      <c r="D40" s="36"/>
      <c r="E40" s="36">
        <v>10.333333333333334</v>
      </c>
      <c r="F40" s="36">
        <v>8</v>
      </c>
      <c r="G40" s="36"/>
      <c r="H40" s="36">
        <v>460</v>
      </c>
      <c r="I40" s="36">
        <v>427</v>
      </c>
      <c r="J40" s="36"/>
      <c r="K40" s="36">
        <v>330.3333333333333</v>
      </c>
      <c r="L40" s="36">
        <v>884</v>
      </c>
    </row>
    <row r="41" spans="1:12" ht="15.75">
      <c r="A41" s="35" t="s">
        <v>35</v>
      </c>
      <c r="B41" s="36">
        <v>866</v>
      </c>
      <c r="C41" s="36">
        <v>1199</v>
      </c>
      <c r="D41" s="36"/>
      <c r="E41" s="36">
        <v>9</v>
      </c>
      <c r="F41" s="36">
        <v>17</v>
      </c>
      <c r="G41" s="36"/>
      <c r="H41" s="36">
        <v>558</v>
      </c>
      <c r="I41" s="36">
        <v>492</v>
      </c>
      <c r="J41" s="36"/>
      <c r="K41" s="36">
        <v>1032.5</v>
      </c>
      <c r="L41" s="36">
        <v>690</v>
      </c>
    </row>
    <row r="42" spans="1:12" ht="15.75">
      <c r="A42" s="35" t="s">
        <v>36</v>
      </c>
      <c r="B42" s="36">
        <v>10500.666666666666</v>
      </c>
      <c r="C42" s="36">
        <v>15279</v>
      </c>
      <c r="D42" s="36"/>
      <c r="E42" s="36">
        <v>45.333333333333336</v>
      </c>
      <c r="F42" s="36">
        <v>36</v>
      </c>
      <c r="G42" s="36"/>
      <c r="H42" s="36">
        <v>6426</v>
      </c>
      <c r="I42" s="36">
        <v>6036</v>
      </c>
      <c r="J42" s="36"/>
      <c r="K42" s="36">
        <v>12889.833333333332</v>
      </c>
      <c r="L42" s="36">
        <v>9207</v>
      </c>
    </row>
    <row r="43" spans="1:12" ht="15.75">
      <c r="A43" s="35" t="s">
        <v>37</v>
      </c>
      <c r="B43" s="36">
        <v>748.3333333333334</v>
      </c>
      <c r="C43" s="36">
        <v>1020</v>
      </c>
      <c r="D43" s="36"/>
      <c r="E43" s="36">
        <v>5.666666666666667</v>
      </c>
      <c r="F43" s="36">
        <v>6</v>
      </c>
      <c r="G43" s="36"/>
      <c r="H43" s="36">
        <v>480.6666666666667</v>
      </c>
      <c r="I43" s="36">
        <v>441</v>
      </c>
      <c r="J43" s="36"/>
      <c r="K43" s="36">
        <v>884.1666666666667</v>
      </c>
      <c r="L43" s="36">
        <v>573</v>
      </c>
    </row>
    <row r="44" spans="1:12" ht="15.75">
      <c r="A44" s="35" t="s">
        <v>38</v>
      </c>
      <c r="B44" s="36">
        <v>24916.333333333332</v>
      </c>
      <c r="C44" s="36">
        <v>33100</v>
      </c>
      <c r="D44" s="36"/>
      <c r="E44" s="36">
        <v>96</v>
      </c>
      <c r="F44" s="36">
        <v>101</v>
      </c>
      <c r="G44" s="36"/>
      <c r="H44" s="36">
        <v>16904</v>
      </c>
      <c r="I44" s="36">
        <v>16933</v>
      </c>
      <c r="J44" s="36"/>
      <c r="K44" s="36">
        <v>29008.166666666664</v>
      </c>
      <c r="L44" s="36">
        <v>16066</v>
      </c>
    </row>
    <row r="45" spans="1:12" ht="15.75">
      <c r="A45" s="35" t="s">
        <v>39</v>
      </c>
      <c r="B45" s="36">
        <v>2775</v>
      </c>
      <c r="C45" s="36">
        <v>3298</v>
      </c>
      <c r="D45" s="36"/>
      <c r="E45" s="36">
        <v>19.666666666666668</v>
      </c>
      <c r="F45" s="36">
        <v>21</v>
      </c>
      <c r="G45" s="36"/>
      <c r="H45" s="36">
        <v>1987.3333333333333</v>
      </c>
      <c r="I45" s="36">
        <v>1714</v>
      </c>
      <c r="J45" s="36"/>
      <c r="K45" s="36">
        <v>3036.5</v>
      </c>
      <c r="L45" s="36">
        <v>1563</v>
      </c>
    </row>
    <row r="46" spans="1:12" ht="15.75">
      <c r="A46" s="35" t="s">
        <v>40</v>
      </c>
      <c r="B46" s="36">
        <v>3351</v>
      </c>
      <c r="C46" s="36">
        <v>4768</v>
      </c>
      <c r="D46" s="36"/>
      <c r="E46" s="36">
        <v>24.333333333333332</v>
      </c>
      <c r="F46" s="36">
        <v>16</v>
      </c>
      <c r="G46" s="36"/>
      <c r="H46" s="36">
        <v>2308.3333333333335</v>
      </c>
      <c r="I46" s="36">
        <v>2189</v>
      </c>
      <c r="J46" s="36"/>
      <c r="K46" s="36">
        <v>4059.5</v>
      </c>
      <c r="L46" s="36">
        <v>2563</v>
      </c>
    </row>
    <row r="47" spans="1:12" ht="15.75">
      <c r="A47" s="35" t="s">
        <v>41</v>
      </c>
      <c r="B47" s="36">
        <v>6641</v>
      </c>
      <c r="C47" s="36">
        <v>10151</v>
      </c>
      <c r="D47" s="36"/>
      <c r="E47" s="36">
        <v>36.333333333333336</v>
      </c>
      <c r="F47" s="36">
        <v>37</v>
      </c>
      <c r="G47" s="36"/>
      <c r="H47" s="36">
        <v>4540.333333333333</v>
      </c>
      <c r="I47" s="36">
        <v>4540</v>
      </c>
      <c r="J47" s="36"/>
      <c r="K47" s="36">
        <v>2064.3333333333335</v>
      </c>
      <c r="L47" s="36">
        <v>5574</v>
      </c>
    </row>
    <row r="48" spans="1:12" ht="15.75">
      <c r="A48" s="35" t="s">
        <v>42</v>
      </c>
      <c r="B48" s="36">
        <v>1486.3333333333333</v>
      </c>
      <c r="C48" s="36">
        <v>2722</v>
      </c>
      <c r="D48" s="36"/>
      <c r="E48" s="36">
        <v>13.666666666666666</v>
      </c>
      <c r="F48" s="36">
        <v>17</v>
      </c>
      <c r="G48" s="36"/>
      <c r="H48" s="36">
        <v>858.3333333333334</v>
      </c>
      <c r="I48" s="36">
        <v>762</v>
      </c>
      <c r="J48" s="36"/>
      <c r="K48" s="36">
        <v>614.3333333333334</v>
      </c>
      <c r="L48" s="36">
        <v>1943</v>
      </c>
    </row>
    <row r="49" spans="1:12" ht="15.75">
      <c r="A49" s="35" t="s">
        <v>43</v>
      </c>
      <c r="B49" s="36">
        <v>5398.666666666667</v>
      </c>
      <c r="C49" s="36">
        <v>6866</v>
      </c>
      <c r="D49" s="36"/>
      <c r="E49" s="36">
        <v>37</v>
      </c>
      <c r="F49" s="36">
        <v>31</v>
      </c>
      <c r="G49" s="36"/>
      <c r="H49" s="36">
        <v>3544</v>
      </c>
      <c r="I49" s="36">
        <v>3364</v>
      </c>
      <c r="J49" s="36"/>
      <c r="K49" s="36">
        <v>1817.6666666666667</v>
      </c>
      <c r="L49" s="36">
        <v>3471</v>
      </c>
    </row>
    <row r="50" spans="1:12" ht="15.75">
      <c r="A50" s="35" t="s">
        <v>44</v>
      </c>
      <c r="B50" s="36">
        <v>425.3333333333333</v>
      </c>
      <c r="C50" s="36">
        <v>730</v>
      </c>
      <c r="D50" s="36"/>
      <c r="E50" s="36">
        <v>7</v>
      </c>
      <c r="F50" s="36">
        <v>10</v>
      </c>
      <c r="G50" s="36"/>
      <c r="H50" s="36">
        <v>297.3333333333333</v>
      </c>
      <c r="I50" s="36">
        <v>290</v>
      </c>
      <c r="J50" s="36"/>
      <c r="K50" s="36">
        <v>121</v>
      </c>
      <c r="L50" s="36">
        <v>430</v>
      </c>
    </row>
    <row r="51" spans="1:12" ht="15.75">
      <c r="A51" s="35" t="s">
        <v>45</v>
      </c>
      <c r="B51" s="36">
        <v>1749.6666666666667</v>
      </c>
      <c r="C51" s="36">
        <v>2465</v>
      </c>
      <c r="D51" s="36"/>
      <c r="E51" s="36">
        <v>24.666666666666668</v>
      </c>
      <c r="F51" s="36">
        <v>23</v>
      </c>
      <c r="G51" s="36"/>
      <c r="H51" s="36">
        <v>1164.6666666666667</v>
      </c>
      <c r="I51" s="36">
        <v>1017</v>
      </c>
      <c r="J51" s="36"/>
      <c r="K51" s="36">
        <v>560.3333333333334</v>
      </c>
      <c r="L51" s="36">
        <v>1425</v>
      </c>
    </row>
    <row r="52" spans="1:12" ht="15.75">
      <c r="A52" s="35" t="s">
        <v>46</v>
      </c>
      <c r="B52" s="36">
        <v>856</v>
      </c>
      <c r="C52" s="36">
        <v>1265</v>
      </c>
      <c r="D52" s="36"/>
      <c r="E52" s="36">
        <v>7.666666666666667</v>
      </c>
      <c r="F52" s="36">
        <v>10</v>
      </c>
      <c r="G52" s="36"/>
      <c r="H52" s="36">
        <v>520.3333333333334</v>
      </c>
      <c r="I52" s="36">
        <v>478</v>
      </c>
      <c r="J52" s="36"/>
      <c r="K52" s="36">
        <v>328</v>
      </c>
      <c r="L52" s="36">
        <v>777</v>
      </c>
    </row>
    <row r="53" spans="1:12" ht="15.75">
      <c r="A53" s="35" t="s">
        <v>47</v>
      </c>
      <c r="B53" s="36">
        <v>1669.3333333333333</v>
      </c>
      <c r="C53" s="36">
        <v>1936</v>
      </c>
      <c r="D53" s="36"/>
      <c r="E53" s="36">
        <v>13.666666666666666</v>
      </c>
      <c r="F53" s="36">
        <v>12</v>
      </c>
      <c r="G53" s="36"/>
      <c r="H53" s="36">
        <v>1008</v>
      </c>
      <c r="I53" s="36">
        <v>910</v>
      </c>
      <c r="J53" s="36"/>
      <c r="K53" s="36">
        <v>647.6666666666666</v>
      </c>
      <c r="L53" s="36">
        <v>1014</v>
      </c>
    </row>
    <row r="54" spans="1:12" ht="15.75">
      <c r="A54" s="35" t="s">
        <v>48</v>
      </c>
      <c r="B54" s="36">
        <v>1940</v>
      </c>
      <c r="C54" s="36">
        <v>2442</v>
      </c>
      <c r="D54" s="36"/>
      <c r="E54" s="36">
        <v>14.666666666666666</v>
      </c>
      <c r="F54" s="36">
        <v>18</v>
      </c>
      <c r="G54" s="36"/>
      <c r="H54" s="36">
        <v>1310.6666666666667</v>
      </c>
      <c r="I54" s="36">
        <v>1219</v>
      </c>
      <c r="J54" s="36"/>
      <c r="K54" s="36">
        <v>614.6666666666666</v>
      </c>
      <c r="L54" s="36">
        <v>1205</v>
      </c>
    </row>
    <row r="55" spans="1:12" ht="15.75">
      <c r="A55" s="35" t="s">
        <v>49</v>
      </c>
      <c r="B55" s="36">
        <v>4804.333333333333</v>
      </c>
      <c r="C55" s="36">
        <v>5279</v>
      </c>
      <c r="D55" s="36"/>
      <c r="E55" s="36">
        <v>20</v>
      </c>
      <c r="F55" s="36">
        <v>26</v>
      </c>
      <c r="G55" s="36"/>
      <c r="H55" s="36">
        <v>3124</v>
      </c>
      <c r="I55" s="36">
        <v>2849</v>
      </c>
      <c r="J55" s="36"/>
      <c r="K55" s="36">
        <v>1660.3333333333333</v>
      </c>
      <c r="L55" s="36">
        <v>2404</v>
      </c>
    </row>
    <row r="56" spans="1:12" ht="15.75">
      <c r="A56" s="35" t="s">
        <v>50</v>
      </c>
      <c r="B56" s="36">
        <v>1275.6666666666667</v>
      </c>
      <c r="C56" s="36">
        <v>1762</v>
      </c>
      <c r="D56" s="36"/>
      <c r="E56" s="36">
        <v>14</v>
      </c>
      <c r="F56" s="36">
        <v>16</v>
      </c>
      <c r="G56" s="36"/>
      <c r="H56" s="36">
        <v>765</v>
      </c>
      <c r="I56" s="36">
        <v>684</v>
      </c>
      <c r="J56" s="36"/>
      <c r="K56" s="36">
        <v>496.6666666666667</v>
      </c>
      <c r="L56" s="36">
        <v>1062</v>
      </c>
    </row>
    <row r="57" spans="1:12" ht="15.75">
      <c r="A57" s="35" t="s">
        <v>51</v>
      </c>
      <c r="B57" s="36">
        <v>2202</v>
      </c>
      <c r="C57" s="36">
        <v>2637</v>
      </c>
      <c r="D57" s="36"/>
      <c r="E57" s="36">
        <v>15.666666666666666</v>
      </c>
      <c r="F57" s="36">
        <v>19</v>
      </c>
      <c r="G57" s="36"/>
      <c r="H57" s="36">
        <v>1479</v>
      </c>
      <c r="I57" s="36">
        <v>1380</v>
      </c>
      <c r="J57" s="36"/>
      <c r="K57" s="36">
        <v>707.3333333333334</v>
      </c>
      <c r="L57" s="36">
        <v>1238</v>
      </c>
    </row>
    <row r="58" spans="1:12" ht="15.75">
      <c r="A58" s="35" t="s">
        <v>52</v>
      </c>
      <c r="B58" s="36">
        <v>1993</v>
      </c>
      <c r="C58" s="36">
        <v>2562</v>
      </c>
      <c r="D58" s="36"/>
      <c r="E58" s="36">
        <v>6.333333333333333</v>
      </c>
      <c r="F58" s="36">
        <v>6</v>
      </c>
      <c r="G58" s="36"/>
      <c r="H58" s="36">
        <v>1323</v>
      </c>
      <c r="I58" s="36">
        <v>1122</v>
      </c>
      <c r="J58" s="36"/>
      <c r="K58" s="36">
        <v>663.6666666666666</v>
      </c>
      <c r="L58" s="36">
        <v>1434</v>
      </c>
    </row>
    <row r="59" spans="1:12" ht="15.75">
      <c r="A59" s="35" t="s">
        <v>53</v>
      </c>
      <c r="B59" s="36">
        <v>375</v>
      </c>
      <c r="C59" s="36">
        <v>522</v>
      </c>
      <c r="D59" s="36"/>
      <c r="E59" s="36">
        <v>6.666666666666667</v>
      </c>
      <c r="F59" s="36">
        <v>8</v>
      </c>
      <c r="G59" s="36"/>
      <c r="H59" s="36">
        <v>249.33333333333334</v>
      </c>
      <c r="I59" s="36">
        <v>224</v>
      </c>
      <c r="J59" s="36"/>
      <c r="K59" s="36">
        <v>119</v>
      </c>
      <c r="L59" s="36">
        <v>290</v>
      </c>
    </row>
    <row r="60" spans="1:12" ht="15.75">
      <c r="A60" s="35" t="s">
        <v>54</v>
      </c>
      <c r="B60" s="36">
        <v>178.33333333333334</v>
      </c>
      <c r="C60" s="36">
        <v>178</v>
      </c>
      <c r="D60" s="36"/>
      <c r="E60" s="36">
        <v>2.3333333333333335</v>
      </c>
      <c r="F60" s="36">
        <v>1</v>
      </c>
      <c r="G60" s="36"/>
      <c r="H60" s="36">
        <v>118.33333333333333</v>
      </c>
      <c r="I60" s="36">
        <v>122</v>
      </c>
      <c r="J60" s="36"/>
      <c r="K60" s="36">
        <v>57.666666666666664</v>
      </c>
      <c r="L60" s="36">
        <v>55</v>
      </c>
    </row>
    <row r="61" spans="1:12" ht="15.75">
      <c r="A61" s="35" t="s">
        <v>55</v>
      </c>
      <c r="B61" s="36">
        <v>400</v>
      </c>
      <c r="C61" s="36">
        <v>745</v>
      </c>
      <c r="D61" s="36"/>
      <c r="E61" s="36">
        <v>5.333333333333333</v>
      </c>
      <c r="F61" s="36">
        <v>6</v>
      </c>
      <c r="G61" s="36"/>
      <c r="H61" s="36">
        <v>279.6666666666667</v>
      </c>
      <c r="I61" s="36">
        <v>233</v>
      </c>
      <c r="J61" s="36"/>
      <c r="K61" s="36">
        <v>115</v>
      </c>
      <c r="L61" s="36">
        <v>506</v>
      </c>
    </row>
    <row r="62" spans="1:12" ht="15.75">
      <c r="A62" s="35" t="s">
        <v>56</v>
      </c>
      <c r="B62" s="36">
        <v>1063</v>
      </c>
      <c r="C62" s="36">
        <v>1401</v>
      </c>
      <c r="D62" s="36"/>
      <c r="E62" s="36">
        <v>16.666666666666668</v>
      </c>
      <c r="F62" s="36">
        <v>9</v>
      </c>
      <c r="G62" s="36"/>
      <c r="H62" s="36">
        <v>717</v>
      </c>
      <c r="I62" s="36">
        <v>648</v>
      </c>
      <c r="J62" s="36"/>
      <c r="K62" s="36">
        <v>329.3333333333333</v>
      </c>
      <c r="L62" s="36">
        <v>744</v>
      </c>
    </row>
    <row r="63" spans="1:12" ht="15.75">
      <c r="A63" s="35" t="s">
        <v>57</v>
      </c>
      <c r="B63" s="36">
        <v>22214.666666666668</v>
      </c>
      <c r="C63" s="36">
        <v>29642</v>
      </c>
      <c r="D63" s="36"/>
      <c r="E63" s="36">
        <v>155.33333333333334</v>
      </c>
      <c r="F63" s="36">
        <v>162</v>
      </c>
      <c r="G63" s="36"/>
      <c r="H63" s="36">
        <v>15251.666666666666</v>
      </c>
      <c r="I63" s="36">
        <v>14974</v>
      </c>
      <c r="J63" s="36"/>
      <c r="K63" s="36">
        <v>6807.666666666667</v>
      </c>
      <c r="L63" s="36">
        <v>14506</v>
      </c>
    </row>
    <row r="64" spans="1:12" ht="15.75">
      <c r="A64" s="35" t="s">
        <v>58</v>
      </c>
      <c r="B64" s="36">
        <v>1183.6666666666667</v>
      </c>
      <c r="C64" s="36">
        <v>1331</v>
      </c>
      <c r="D64" s="36"/>
      <c r="E64" s="36">
        <v>8.666666666666666</v>
      </c>
      <c r="F64" s="36">
        <v>17</v>
      </c>
      <c r="G64" s="36"/>
      <c r="H64" s="36">
        <v>807</v>
      </c>
      <c r="I64" s="36">
        <v>716</v>
      </c>
      <c r="J64" s="36"/>
      <c r="K64" s="36">
        <v>368</v>
      </c>
      <c r="L64" s="36">
        <v>598</v>
      </c>
    </row>
    <row r="65" spans="1:12" ht="15.75">
      <c r="A65" s="35" t="s">
        <v>59</v>
      </c>
      <c r="B65" s="36">
        <v>555</v>
      </c>
      <c r="C65" s="36">
        <v>886</v>
      </c>
      <c r="D65" s="36"/>
      <c r="E65" s="36">
        <v>6.666666666666667</v>
      </c>
      <c r="F65" s="36">
        <v>4</v>
      </c>
      <c r="G65" s="36"/>
      <c r="H65" s="36">
        <v>345.3333333333333</v>
      </c>
      <c r="I65" s="36">
        <v>318</v>
      </c>
      <c r="J65" s="36"/>
      <c r="K65" s="36">
        <v>203</v>
      </c>
      <c r="L65" s="36">
        <v>564</v>
      </c>
    </row>
    <row r="66" spans="1:12" ht="15.75">
      <c r="A66" s="35" t="s">
        <v>60</v>
      </c>
      <c r="B66" s="36">
        <v>1214.3333333333333</v>
      </c>
      <c r="C66" s="36">
        <v>1601</v>
      </c>
      <c r="D66" s="36"/>
      <c r="E66" s="36">
        <v>12</v>
      </c>
      <c r="F66" s="36">
        <v>6</v>
      </c>
      <c r="G66" s="36"/>
      <c r="H66" s="36">
        <v>713</v>
      </c>
      <c r="I66" s="36">
        <v>623</v>
      </c>
      <c r="J66" s="36"/>
      <c r="K66" s="36">
        <v>489.3333333333333</v>
      </c>
      <c r="L66" s="36">
        <v>972</v>
      </c>
    </row>
    <row r="67" spans="1:12" ht="15.75">
      <c r="A67" s="35" t="s">
        <v>61</v>
      </c>
      <c r="B67" s="36">
        <v>2719</v>
      </c>
      <c r="C67" s="36">
        <v>3378</v>
      </c>
      <c r="D67" s="36"/>
      <c r="E67" s="36">
        <v>18.666666666666668</v>
      </c>
      <c r="F67" s="36">
        <v>20</v>
      </c>
      <c r="G67" s="36"/>
      <c r="H67" s="36">
        <v>1876.6666666666667</v>
      </c>
      <c r="I67" s="36">
        <v>1767</v>
      </c>
      <c r="J67" s="36"/>
      <c r="K67" s="36">
        <v>823.6666666666666</v>
      </c>
      <c r="L67" s="36">
        <v>1591</v>
      </c>
    </row>
    <row r="68" spans="1:12" ht="15.75">
      <c r="A68" s="35" t="s">
        <v>62</v>
      </c>
      <c r="B68" s="36">
        <v>1076.3333333333333</v>
      </c>
      <c r="C68" s="36">
        <v>1639</v>
      </c>
      <c r="D68" s="36"/>
      <c r="E68" s="36">
        <v>12.333333333333334</v>
      </c>
      <c r="F68" s="36">
        <v>3</v>
      </c>
      <c r="G68" s="36"/>
      <c r="H68" s="36">
        <v>729</v>
      </c>
      <c r="I68" s="36">
        <v>682</v>
      </c>
      <c r="J68" s="36"/>
      <c r="K68" s="36">
        <v>335</v>
      </c>
      <c r="L68" s="36">
        <v>954</v>
      </c>
    </row>
    <row r="69" spans="1:12" ht="15.75">
      <c r="A69" s="35" t="s">
        <v>63</v>
      </c>
      <c r="B69" s="36">
        <v>674</v>
      </c>
      <c r="C69" s="36">
        <v>935</v>
      </c>
      <c r="D69" s="36"/>
      <c r="E69" s="36">
        <v>6.666666666666667</v>
      </c>
      <c r="F69" s="36">
        <v>11</v>
      </c>
      <c r="G69" s="36"/>
      <c r="H69" s="36">
        <v>460.3333333333333</v>
      </c>
      <c r="I69" s="36">
        <v>433</v>
      </c>
      <c r="J69" s="36"/>
      <c r="K69" s="36">
        <v>207</v>
      </c>
      <c r="L69" s="36">
        <v>491</v>
      </c>
    </row>
    <row r="70" spans="1:12" ht="15.75">
      <c r="A70" s="35" t="s">
        <v>64</v>
      </c>
      <c r="B70" s="36">
        <v>1062</v>
      </c>
      <c r="C70" s="36">
        <v>1549</v>
      </c>
      <c r="D70" s="36"/>
      <c r="E70" s="36">
        <v>16</v>
      </c>
      <c r="F70" s="36">
        <v>14</v>
      </c>
      <c r="G70" s="36"/>
      <c r="H70" s="36">
        <v>704</v>
      </c>
      <c r="I70" s="36">
        <v>690</v>
      </c>
      <c r="J70" s="36"/>
      <c r="K70" s="36">
        <v>342</v>
      </c>
      <c r="L70" s="36">
        <v>845</v>
      </c>
    </row>
    <row r="71" spans="1:12" ht="15.75">
      <c r="A71" s="35" t="s">
        <v>65</v>
      </c>
      <c r="B71" s="36">
        <v>13867.333333333334</v>
      </c>
      <c r="C71" s="36">
        <v>16314</v>
      </c>
      <c r="D71" s="36"/>
      <c r="E71" s="36">
        <v>60.666666666666664</v>
      </c>
      <c r="F71" s="36">
        <v>52</v>
      </c>
      <c r="G71" s="36"/>
      <c r="H71" s="36">
        <v>8696.333333333334</v>
      </c>
      <c r="I71" s="36">
        <v>8647</v>
      </c>
      <c r="J71" s="36"/>
      <c r="K71" s="36">
        <v>5110.333333333333</v>
      </c>
      <c r="L71" s="36">
        <v>7615</v>
      </c>
    </row>
    <row r="72" spans="1:12" ht="15.75">
      <c r="A72" s="35" t="s">
        <v>66</v>
      </c>
      <c r="B72" s="36">
        <v>471.3333333333333</v>
      </c>
      <c r="C72" s="36">
        <v>744</v>
      </c>
      <c r="D72" s="36"/>
      <c r="E72" s="36">
        <v>8.666666666666666</v>
      </c>
      <c r="F72" s="36">
        <v>10</v>
      </c>
      <c r="G72" s="36"/>
      <c r="H72" s="36">
        <v>305.3333333333333</v>
      </c>
      <c r="I72" s="36">
        <v>311</v>
      </c>
      <c r="J72" s="36"/>
      <c r="K72" s="36">
        <v>157.33333333333334</v>
      </c>
      <c r="L72" s="36">
        <v>423</v>
      </c>
    </row>
    <row r="73" spans="1:12" ht="15.75">
      <c r="A73" s="35" t="s">
        <v>67</v>
      </c>
      <c r="B73" s="36">
        <v>214.66666666666666</v>
      </c>
      <c r="C73" s="36">
        <v>172</v>
      </c>
      <c r="D73" s="36"/>
      <c r="E73" s="36">
        <v>4.5</v>
      </c>
      <c r="F73" s="37">
        <v>0</v>
      </c>
      <c r="G73" s="36"/>
      <c r="H73" s="36">
        <v>149.66666666666666</v>
      </c>
      <c r="I73" s="36">
        <v>115</v>
      </c>
      <c r="J73" s="36"/>
      <c r="K73" s="36">
        <v>62</v>
      </c>
      <c r="L73" s="36">
        <v>57</v>
      </c>
    </row>
    <row r="74" spans="1:12" ht="15.75">
      <c r="A74" s="38"/>
      <c r="B74" s="39"/>
      <c r="C74" s="39"/>
      <c r="D74" s="39"/>
      <c r="E74" s="39"/>
      <c r="F74" s="39"/>
      <c r="G74" s="39"/>
      <c r="H74" s="39"/>
      <c r="I74" s="39"/>
      <c r="J74" s="39"/>
      <c r="K74" s="39"/>
      <c r="L74" s="39"/>
    </row>
    <row r="75" spans="1:12" ht="50.25" customHeight="1">
      <c r="A75" s="31" t="s">
        <v>94</v>
      </c>
      <c r="B75" s="31"/>
      <c r="C75" s="31"/>
      <c r="D75" s="31"/>
      <c r="E75" s="31"/>
      <c r="F75" s="31"/>
      <c r="G75" s="31"/>
      <c r="H75" s="31"/>
      <c r="I75" s="31"/>
      <c r="J75" s="31"/>
      <c r="K75" s="31"/>
      <c r="L75" s="31"/>
    </row>
    <row r="76" spans="1:12" ht="15.75">
      <c r="A76" s="21"/>
      <c r="B76" s="22"/>
      <c r="C76" s="22"/>
      <c r="D76" s="22"/>
      <c r="E76" s="22"/>
      <c r="F76" s="22"/>
      <c r="G76" s="22"/>
      <c r="H76" s="22"/>
      <c r="I76" s="22"/>
      <c r="J76" s="22"/>
      <c r="K76" s="22"/>
      <c r="L76" s="22"/>
    </row>
    <row r="77" spans="1:12" ht="32.25" customHeight="1">
      <c r="A77" s="31" t="s">
        <v>107</v>
      </c>
      <c r="B77" s="31"/>
      <c r="C77" s="31"/>
      <c r="D77" s="31"/>
      <c r="E77" s="31"/>
      <c r="F77" s="31"/>
      <c r="G77" s="31"/>
      <c r="H77" s="31"/>
      <c r="I77" s="31"/>
      <c r="J77" s="31"/>
      <c r="K77" s="31"/>
      <c r="L77" s="31"/>
    </row>
    <row r="78" spans="1:12" ht="15.75">
      <c r="A78" s="1"/>
      <c r="B78" s="1"/>
      <c r="C78" s="1"/>
      <c r="D78" s="1"/>
      <c r="E78" s="1"/>
      <c r="F78" s="1"/>
      <c r="G78" s="1"/>
      <c r="H78" s="1"/>
      <c r="I78" s="1"/>
      <c r="J78" s="1"/>
      <c r="K78" s="1"/>
      <c r="L78" s="1"/>
    </row>
    <row r="79" spans="1:12" ht="15.75">
      <c r="A79" s="1" t="s">
        <v>68</v>
      </c>
      <c r="B79" s="1"/>
      <c r="C79" s="1"/>
      <c r="D79" s="1"/>
      <c r="E79" s="1"/>
      <c r="F79" s="1"/>
      <c r="G79" s="1"/>
      <c r="H79" s="1"/>
      <c r="I79" s="1"/>
      <c r="J79" s="1"/>
      <c r="K79" s="1"/>
      <c r="L79" s="1"/>
    </row>
    <row r="80" spans="1:12" ht="15.75">
      <c r="A80" s="35"/>
      <c r="B80" s="36"/>
      <c r="C80" s="36"/>
      <c r="D80" s="36"/>
      <c r="E80" s="36"/>
      <c r="F80" s="36"/>
      <c r="G80" s="36"/>
      <c r="H80" s="36"/>
      <c r="I80" s="36"/>
      <c r="J80" s="36"/>
      <c r="K80" s="36"/>
      <c r="L80" s="36"/>
    </row>
    <row r="81" spans="1:12" ht="15.75">
      <c r="A81" s="35"/>
      <c r="B81" s="36"/>
      <c r="C81" s="36"/>
      <c r="D81" s="36"/>
      <c r="E81" s="36"/>
      <c r="F81" s="36"/>
      <c r="G81" s="36"/>
      <c r="H81" s="36"/>
      <c r="I81" s="36"/>
      <c r="J81" s="36"/>
      <c r="K81" s="36"/>
      <c r="L81" s="36"/>
    </row>
    <row r="82" spans="1:12" ht="15.75">
      <c r="A82" s="35"/>
      <c r="B82" s="36"/>
      <c r="C82" s="36"/>
      <c r="D82" s="36"/>
      <c r="E82" s="36"/>
      <c r="F82" s="36"/>
      <c r="G82" s="36"/>
      <c r="H82" s="36"/>
      <c r="I82" s="36"/>
      <c r="J82" s="36"/>
      <c r="K82" s="36"/>
      <c r="L82" s="36"/>
    </row>
    <row r="83" spans="1:12" ht="15.75">
      <c r="A83" s="35"/>
      <c r="B83" s="36"/>
      <c r="C83" s="36"/>
      <c r="D83" s="36"/>
      <c r="E83" s="36"/>
      <c r="F83" s="36"/>
      <c r="G83" s="36"/>
      <c r="H83" s="36"/>
      <c r="I83" s="36"/>
      <c r="J83" s="36"/>
      <c r="K83" s="36"/>
      <c r="L83" s="36"/>
    </row>
    <row r="84" spans="1:12" ht="15.75">
      <c r="A84" s="35"/>
      <c r="B84" s="36"/>
      <c r="C84" s="36"/>
      <c r="D84" s="36"/>
      <c r="E84" s="36"/>
      <c r="F84" s="36"/>
      <c r="G84" s="36"/>
      <c r="H84" s="36"/>
      <c r="I84" s="36"/>
      <c r="J84" s="36"/>
      <c r="K84" s="36"/>
      <c r="L84" s="36"/>
    </row>
    <row r="85" spans="1:12" ht="15.75">
      <c r="A85" s="35"/>
      <c r="B85" s="1"/>
      <c r="C85" s="1"/>
      <c r="D85" s="1"/>
      <c r="E85" s="1"/>
      <c r="F85" s="1"/>
      <c r="G85" s="1"/>
      <c r="H85" s="1"/>
      <c r="I85" s="1"/>
      <c r="J85" s="1"/>
      <c r="K85" s="1"/>
      <c r="L85" s="1"/>
    </row>
    <row r="86" spans="1:12" ht="15.75">
      <c r="A86" s="35"/>
      <c r="B86" s="1"/>
      <c r="C86" s="1"/>
      <c r="D86" s="1"/>
      <c r="E86" s="1"/>
      <c r="F86" s="1"/>
      <c r="G86" s="1"/>
      <c r="H86" s="1"/>
      <c r="I86" s="1"/>
      <c r="J86" s="1"/>
      <c r="K86" s="1"/>
      <c r="L86" s="1"/>
    </row>
    <row r="87" spans="1:12" ht="15.75">
      <c r="A87" s="1"/>
      <c r="B87" s="1"/>
      <c r="C87" s="1"/>
      <c r="D87" s="1"/>
      <c r="E87" s="1"/>
      <c r="F87" s="1"/>
      <c r="G87" s="1"/>
      <c r="H87" s="1"/>
      <c r="I87" s="1"/>
      <c r="J87" s="1"/>
      <c r="K87" s="1"/>
      <c r="L87" s="1"/>
    </row>
    <row r="88" spans="1:12" ht="15.75">
      <c r="A88" s="1"/>
      <c r="B88" s="1"/>
      <c r="C88" s="1"/>
      <c r="D88" s="1"/>
      <c r="E88" s="1"/>
      <c r="F88" s="1"/>
      <c r="G88" s="1"/>
      <c r="H88" s="1"/>
      <c r="I88" s="1"/>
      <c r="J88" s="1"/>
      <c r="K88" s="1"/>
      <c r="L88" s="1"/>
    </row>
    <row r="89" spans="1:12" ht="15.75">
      <c r="A89" s="35"/>
      <c r="B89" s="1"/>
      <c r="C89" s="1"/>
      <c r="D89" s="1"/>
      <c r="E89" s="1"/>
      <c r="F89" s="1"/>
      <c r="G89" s="1"/>
      <c r="H89" s="1"/>
      <c r="I89" s="1"/>
      <c r="J89" s="1"/>
      <c r="K89" s="1"/>
      <c r="L89" s="1"/>
    </row>
  </sheetData>
  <sheetProtection/>
  <mergeCells count="6">
    <mergeCell ref="B4:C4"/>
    <mergeCell ref="E4:F4"/>
    <mergeCell ref="H4:I4"/>
    <mergeCell ref="K4:L4"/>
    <mergeCell ref="A75:L75"/>
    <mergeCell ref="A77:L7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90"/>
  <sheetViews>
    <sheetView zoomScalePageLayoutView="0" workbookViewId="0" topLeftCell="A1">
      <selection activeCell="A1" sqref="A1"/>
    </sheetView>
  </sheetViews>
  <sheetFormatPr defaultColWidth="8.88671875" defaultRowHeight="15.75"/>
  <cols>
    <col min="1" max="1" width="25.77734375" style="0" customWidth="1"/>
    <col min="2" max="3" width="10.77734375" style="0" customWidth="1"/>
    <col min="4" max="4" width="2.77734375" style="0" customWidth="1"/>
    <col min="5" max="6" width="10.77734375" style="0" customWidth="1"/>
    <col min="7" max="7" width="2.77734375" style="0" customWidth="1"/>
    <col min="8" max="9" width="10.77734375" style="0" customWidth="1"/>
    <col min="10" max="10" width="2.77734375" style="0" customWidth="1"/>
    <col min="11" max="16384" width="10.77734375" style="0" customWidth="1"/>
  </cols>
  <sheetData>
    <row r="1" spans="1:12" ht="20.25">
      <c r="A1" s="12" t="s">
        <v>0</v>
      </c>
      <c r="B1" s="1"/>
      <c r="C1" s="2"/>
      <c r="D1" s="1"/>
      <c r="E1" s="1"/>
      <c r="F1" s="1"/>
      <c r="G1" s="1"/>
      <c r="H1" s="1"/>
      <c r="I1" s="1"/>
      <c r="J1" s="1"/>
      <c r="K1" s="1"/>
      <c r="L1" s="1"/>
    </row>
    <row r="2" spans="1:12" ht="20.25">
      <c r="A2" s="12" t="s">
        <v>110</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103</v>
      </c>
      <c r="C4" s="30"/>
      <c r="D4" s="3"/>
      <c r="E4" s="30" t="s">
        <v>69</v>
      </c>
      <c r="F4" s="30"/>
      <c r="G4" s="3"/>
      <c r="H4" s="30" t="s">
        <v>70</v>
      </c>
      <c r="I4" s="30"/>
      <c r="J4" s="3"/>
      <c r="K4" s="30" t="s">
        <v>104</v>
      </c>
      <c r="L4" s="30"/>
    </row>
    <row r="5" spans="1:12" ht="29.25">
      <c r="A5" s="4" t="s">
        <v>1</v>
      </c>
      <c r="B5" s="17" t="s">
        <v>111</v>
      </c>
      <c r="C5" s="5">
        <v>1997</v>
      </c>
      <c r="D5" s="4"/>
      <c r="E5" s="17" t="s">
        <v>111</v>
      </c>
      <c r="F5" s="5">
        <v>1997</v>
      </c>
      <c r="G5" s="4"/>
      <c r="H5" s="17" t="s">
        <v>111</v>
      </c>
      <c r="I5" s="5">
        <v>1997</v>
      </c>
      <c r="J5" s="4"/>
      <c r="K5" s="17" t="s">
        <v>111</v>
      </c>
      <c r="L5" s="5">
        <v>1997</v>
      </c>
    </row>
    <row r="6" spans="1:12" ht="15.75">
      <c r="A6" s="1"/>
      <c r="B6" s="1"/>
      <c r="C6" s="2"/>
      <c r="D6" s="1"/>
      <c r="E6" s="1"/>
      <c r="F6" s="1"/>
      <c r="G6" s="1"/>
      <c r="H6" s="6"/>
      <c r="I6" s="1"/>
      <c r="J6" s="1"/>
      <c r="K6" s="1"/>
      <c r="L6" s="1"/>
    </row>
    <row r="7" spans="1:13" ht="15.75">
      <c r="A7" s="1" t="s">
        <v>2</v>
      </c>
      <c r="B7" s="8">
        <f>+B9+B16</f>
        <v>254329</v>
      </c>
      <c r="C7" s="8">
        <f>+C9+C16</f>
        <v>263604</v>
      </c>
      <c r="D7" s="8" t="s">
        <v>3</v>
      </c>
      <c r="E7" s="8">
        <f>+E9+E16</f>
        <v>1512.3333333333333</v>
      </c>
      <c r="F7" s="8">
        <f>+F9+F16</f>
        <v>1488</v>
      </c>
      <c r="G7" s="8"/>
      <c r="H7" s="8">
        <f>+H9+H16</f>
        <v>188776.00000000003</v>
      </c>
      <c r="I7" s="8">
        <f>+I9+I16</f>
        <v>182526</v>
      </c>
      <c r="J7" s="8"/>
      <c r="K7" s="8">
        <f>+K9+K16</f>
        <v>64041</v>
      </c>
      <c r="L7" s="8">
        <f>+L9+L16</f>
        <v>79590</v>
      </c>
      <c r="M7" s="8"/>
    </row>
    <row r="8" spans="1:13" ht="15.75">
      <c r="A8" s="1"/>
      <c r="B8" s="8"/>
      <c r="C8" s="8"/>
      <c r="D8" s="8"/>
      <c r="E8" s="8"/>
      <c r="F8" s="8"/>
      <c r="G8" s="8" t="s">
        <v>3</v>
      </c>
      <c r="H8" s="8"/>
      <c r="I8" s="8"/>
      <c r="J8" s="8" t="s">
        <v>3</v>
      </c>
      <c r="K8" s="8"/>
      <c r="L8" s="8"/>
      <c r="M8" s="8"/>
    </row>
    <row r="9" spans="1:13" ht="15.75">
      <c r="A9" s="1" t="s">
        <v>4</v>
      </c>
      <c r="B9" s="8">
        <f>SUM(B10:B14)</f>
        <v>96807.33333333333</v>
      </c>
      <c r="C9" s="8">
        <f>SUM(C10:C14)</f>
        <v>92428</v>
      </c>
      <c r="D9" s="8" t="s">
        <v>3</v>
      </c>
      <c r="E9" s="8">
        <f>SUM(E10:E14)</f>
        <v>412.3333333333333</v>
      </c>
      <c r="F9" s="8">
        <f>SUM(F10:F14)</f>
        <v>424</v>
      </c>
      <c r="G9" s="8"/>
      <c r="H9" s="8">
        <f>SUM(H10:H14)</f>
        <v>80205</v>
      </c>
      <c r="I9" s="8">
        <f>SUM(I10:I14)</f>
        <v>78156</v>
      </c>
      <c r="J9" s="8"/>
      <c r="K9" s="8">
        <f>SUM(K10:K14)</f>
        <v>16190</v>
      </c>
      <c r="L9" s="8">
        <f>SUM(L10:L14)</f>
        <v>13848</v>
      </c>
      <c r="M9" s="8"/>
    </row>
    <row r="10" spans="1:13" ht="15.75">
      <c r="A10" s="1" t="s">
        <v>5</v>
      </c>
      <c r="B10" s="8">
        <v>13320</v>
      </c>
      <c r="C10" s="8">
        <v>13114</v>
      </c>
      <c r="D10" s="8"/>
      <c r="E10" s="8">
        <v>64</v>
      </c>
      <c r="F10" s="8">
        <v>72</v>
      </c>
      <c r="G10" s="8"/>
      <c r="H10" s="8">
        <v>10947.666666666666</v>
      </c>
      <c r="I10" s="8">
        <v>10904</v>
      </c>
      <c r="J10" s="8"/>
      <c r="K10" s="8">
        <v>2308.3333333333335</v>
      </c>
      <c r="L10" s="8">
        <v>2138</v>
      </c>
      <c r="M10" s="8"/>
    </row>
    <row r="11" spans="1:13" ht="15.75">
      <c r="A11" s="1" t="s">
        <v>6</v>
      </c>
      <c r="B11" s="8">
        <v>29706.333333333332</v>
      </c>
      <c r="C11" s="8">
        <v>28768</v>
      </c>
      <c r="D11" s="8"/>
      <c r="E11" s="8">
        <v>114.33333333333333</v>
      </c>
      <c r="F11" s="8">
        <v>134</v>
      </c>
      <c r="G11" s="8"/>
      <c r="H11" s="8">
        <v>25867</v>
      </c>
      <c r="I11" s="8">
        <v>25559</v>
      </c>
      <c r="J11" s="8"/>
      <c r="K11" s="8">
        <v>3725</v>
      </c>
      <c r="L11" s="8">
        <v>3075</v>
      </c>
      <c r="M11" s="8"/>
    </row>
    <row r="12" spans="1:13" ht="15.75">
      <c r="A12" s="1" t="s">
        <v>7</v>
      </c>
      <c r="B12" s="8">
        <v>19765</v>
      </c>
      <c r="C12" s="8">
        <v>18731</v>
      </c>
      <c r="D12" s="8"/>
      <c r="E12" s="8">
        <v>87.33333333333333</v>
      </c>
      <c r="F12" s="8">
        <v>81</v>
      </c>
      <c r="G12" s="8"/>
      <c r="H12" s="8">
        <v>16329.333333333334</v>
      </c>
      <c r="I12" s="8">
        <v>15711</v>
      </c>
      <c r="J12" s="8"/>
      <c r="K12" s="8">
        <v>3348.3333333333335</v>
      </c>
      <c r="L12" s="8">
        <v>2939</v>
      </c>
      <c r="M12" s="8"/>
    </row>
    <row r="13" spans="1:13" ht="15.75">
      <c r="A13" s="1" t="s">
        <v>8</v>
      </c>
      <c r="B13" s="8">
        <v>28749.333333333332</v>
      </c>
      <c r="C13" s="8">
        <v>26690</v>
      </c>
      <c r="D13" s="8"/>
      <c r="E13" s="8">
        <v>127</v>
      </c>
      <c r="F13" s="8">
        <v>123</v>
      </c>
      <c r="G13" s="8"/>
      <c r="H13" s="8">
        <v>22905</v>
      </c>
      <c r="I13" s="8">
        <v>21849</v>
      </c>
      <c r="J13" s="8"/>
      <c r="K13" s="8">
        <v>5717.333333333333</v>
      </c>
      <c r="L13" s="8">
        <v>4718</v>
      </c>
      <c r="M13" s="8"/>
    </row>
    <row r="14" spans="1:13" ht="15.75">
      <c r="A14" s="1" t="s">
        <v>9</v>
      </c>
      <c r="B14" s="8">
        <v>5266.666666666667</v>
      </c>
      <c r="C14" s="8">
        <v>5125</v>
      </c>
      <c r="D14" s="8"/>
      <c r="E14" s="8">
        <v>19.666666666666668</v>
      </c>
      <c r="F14" s="8">
        <v>14</v>
      </c>
      <c r="G14" s="8"/>
      <c r="H14" s="8">
        <v>4156</v>
      </c>
      <c r="I14" s="8">
        <v>4133</v>
      </c>
      <c r="J14" s="8"/>
      <c r="K14" s="8">
        <v>1091</v>
      </c>
      <c r="L14" s="8">
        <v>978</v>
      </c>
      <c r="M14" s="8"/>
    </row>
    <row r="15" spans="1:13" ht="15.75">
      <c r="A15" s="1"/>
      <c r="B15" s="8"/>
      <c r="C15" s="8"/>
      <c r="D15" s="8"/>
      <c r="E15" s="8"/>
      <c r="F15" s="8"/>
      <c r="G15" s="8"/>
      <c r="H15" s="8"/>
      <c r="I15" s="8"/>
      <c r="J15" s="8"/>
      <c r="K15" s="8"/>
      <c r="L15" s="8"/>
      <c r="M15" s="8"/>
    </row>
    <row r="16" spans="1:13" ht="15.75">
      <c r="A16" s="1" t="s">
        <v>10</v>
      </c>
      <c r="B16" s="8">
        <f>SUM(B17:B73)</f>
        <v>157521.66666666666</v>
      </c>
      <c r="C16" s="8">
        <f>SUM(C17:C73)</f>
        <v>171176</v>
      </c>
      <c r="D16" s="8" t="s">
        <v>3</v>
      </c>
      <c r="E16" s="8">
        <v>1100</v>
      </c>
      <c r="F16" s="8">
        <f>SUM(F17:F73)</f>
        <v>1064</v>
      </c>
      <c r="G16" s="8"/>
      <c r="H16" s="8">
        <f>SUM(H17:H73)</f>
        <v>108571.00000000003</v>
      </c>
      <c r="I16" s="8">
        <f>SUM(I17:I73)</f>
        <v>104370</v>
      </c>
      <c r="J16" s="8"/>
      <c r="K16" s="8">
        <f>SUM(K17:K73)</f>
        <v>47851</v>
      </c>
      <c r="L16" s="8">
        <f>SUM(L17:L73)</f>
        <v>65742</v>
      </c>
      <c r="M16" s="8"/>
    </row>
    <row r="17" spans="1:13" ht="15.75">
      <c r="A17" s="1" t="s">
        <v>11</v>
      </c>
      <c r="B17" s="8">
        <v>4759.666666666667</v>
      </c>
      <c r="C17" s="8">
        <v>5056</v>
      </c>
      <c r="D17" s="8"/>
      <c r="E17" s="8">
        <v>19.333333333333332</v>
      </c>
      <c r="F17" s="8">
        <v>21</v>
      </c>
      <c r="G17" s="8"/>
      <c r="H17" s="8">
        <v>3225.3333333333335</v>
      </c>
      <c r="I17" s="8">
        <v>3188</v>
      </c>
      <c r="J17" s="8"/>
      <c r="K17" s="8">
        <v>1515</v>
      </c>
      <c r="L17" s="8">
        <v>1847</v>
      </c>
      <c r="M17" s="8"/>
    </row>
    <row r="18" spans="1:13" ht="15.75">
      <c r="A18" s="1" t="s">
        <v>12</v>
      </c>
      <c r="B18" s="8">
        <v>536.3333333333334</v>
      </c>
      <c r="C18" s="8">
        <v>612</v>
      </c>
      <c r="D18" s="8"/>
      <c r="E18" s="8">
        <v>9</v>
      </c>
      <c r="F18" s="8">
        <v>6</v>
      </c>
      <c r="G18" s="8"/>
      <c r="H18" s="8">
        <v>354</v>
      </c>
      <c r="I18" s="8">
        <v>342</v>
      </c>
      <c r="J18" s="8"/>
      <c r="K18" s="8">
        <v>173.33333333333334</v>
      </c>
      <c r="L18" s="8">
        <v>264</v>
      </c>
      <c r="M18" s="8"/>
    </row>
    <row r="19" spans="1:13" ht="15.75">
      <c r="A19" s="1" t="s">
        <v>13</v>
      </c>
      <c r="B19" s="8">
        <v>2550.3333333333335</v>
      </c>
      <c r="C19" s="8">
        <v>2887</v>
      </c>
      <c r="D19" s="8"/>
      <c r="E19" s="8">
        <v>16</v>
      </c>
      <c r="F19" s="8">
        <v>14</v>
      </c>
      <c r="G19" s="8"/>
      <c r="H19" s="8">
        <v>1874.6666666666667</v>
      </c>
      <c r="I19" s="8">
        <v>1722</v>
      </c>
      <c r="J19" s="8"/>
      <c r="K19" s="8">
        <v>659.6666666666666</v>
      </c>
      <c r="L19" s="8">
        <v>1151</v>
      </c>
      <c r="M19" s="8"/>
    </row>
    <row r="20" spans="1:13" ht="15.75">
      <c r="A20" s="1" t="s">
        <v>14</v>
      </c>
      <c r="B20" s="8">
        <v>979.3333333333334</v>
      </c>
      <c r="C20" s="8">
        <v>1004</v>
      </c>
      <c r="D20" s="8"/>
      <c r="E20" s="8">
        <v>12.666666666666666</v>
      </c>
      <c r="F20" s="8">
        <v>12</v>
      </c>
      <c r="G20" s="8"/>
      <c r="H20" s="8">
        <v>653</v>
      </c>
      <c r="I20" s="8">
        <v>666</v>
      </c>
      <c r="J20" s="8"/>
      <c r="K20" s="8">
        <v>313.6666666666667</v>
      </c>
      <c r="L20" s="8">
        <v>326</v>
      </c>
      <c r="M20" s="8"/>
    </row>
    <row r="21" spans="1:13" ht="15.75">
      <c r="A21" s="1" t="s">
        <v>15</v>
      </c>
      <c r="B21" s="8">
        <v>935.6666666666666</v>
      </c>
      <c r="C21" s="8">
        <v>1050</v>
      </c>
      <c r="D21" s="8"/>
      <c r="E21" s="8">
        <v>11</v>
      </c>
      <c r="F21" s="8">
        <v>16</v>
      </c>
      <c r="G21" s="8"/>
      <c r="H21" s="8">
        <v>723.3333333333334</v>
      </c>
      <c r="I21" s="8">
        <v>674</v>
      </c>
      <c r="J21" s="8"/>
      <c r="K21" s="8">
        <v>201.33333333333334</v>
      </c>
      <c r="L21" s="8">
        <v>360</v>
      </c>
      <c r="M21" s="8"/>
    </row>
    <row r="22" spans="1:13" ht="15.75">
      <c r="A22" s="1" t="s">
        <v>16</v>
      </c>
      <c r="B22" s="8">
        <v>1688</v>
      </c>
      <c r="C22" s="8">
        <v>2011</v>
      </c>
      <c r="D22" s="8"/>
      <c r="E22" s="8">
        <v>24</v>
      </c>
      <c r="F22" s="8">
        <v>28</v>
      </c>
      <c r="G22" s="8"/>
      <c r="H22" s="8">
        <v>1219.6666666666667</v>
      </c>
      <c r="I22" s="8">
        <v>1138</v>
      </c>
      <c r="J22" s="8"/>
      <c r="K22" s="8">
        <v>444.3333333333333</v>
      </c>
      <c r="L22" s="8">
        <v>845</v>
      </c>
      <c r="M22" s="8"/>
    </row>
    <row r="23" spans="1:13" ht="15.75">
      <c r="A23" s="1" t="s">
        <v>17</v>
      </c>
      <c r="B23" s="8">
        <v>932</v>
      </c>
      <c r="C23" s="8">
        <v>935</v>
      </c>
      <c r="D23" s="8"/>
      <c r="E23" s="8">
        <v>7.333333333333333</v>
      </c>
      <c r="F23" s="8">
        <v>10</v>
      </c>
      <c r="G23" s="8"/>
      <c r="H23" s="8">
        <v>668.3333333333334</v>
      </c>
      <c r="I23" s="8">
        <v>639</v>
      </c>
      <c r="J23" s="8"/>
      <c r="K23" s="8">
        <v>256.3333333333333</v>
      </c>
      <c r="L23" s="8">
        <v>286</v>
      </c>
      <c r="M23" s="8"/>
    </row>
    <row r="24" spans="1:13" ht="15.75">
      <c r="A24" s="1" t="s">
        <v>18</v>
      </c>
      <c r="B24" s="8">
        <v>604</v>
      </c>
      <c r="C24" s="8">
        <v>726</v>
      </c>
      <c r="D24" s="8"/>
      <c r="E24" s="8">
        <v>6.333333333333333</v>
      </c>
      <c r="F24" s="8">
        <v>11</v>
      </c>
      <c r="G24" s="8"/>
      <c r="H24" s="8">
        <v>426</v>
      </c>
      <c r="I24" s="8">
        <v>410</v>
      </c>
      <c r="J24" s="8"/>
      <c r="K24" s="8">
        <v>171.66666666666666</v>
      </c>
      <c r="L24" s="8">
        <v>305</v>
      </c>
      <c r="M24" s="8"/>
    </row>
    <row r="25" spans="1:13" ht="15.75">
      <c r="A25" s="1" t="s">
        <v>19</v>
      </c>
      <c r="B25" s="8">
        <v>939.3333333333334</v>
      </c>
      <c r="C25" s="8">
        <v>908</v>
      </c>
      <c r="D25" s="8"/>
      <c r="E25" s="8">
        <v>12.666666666666666</v>
      </c>
      <c r="F25" s="8">
        <v>13</v>
      </c>
      <c r="G25" s="8"/>
      <c r="H25" s="8">
        <v>640.3333333333334</v>
      </c>
      <c r="I25" s="8">
        <v>624</v>
      </c>
      <c r="J25" s="8"/>
      <c r="K25" s="8">
        <v>286.3333333333333</v>
      </c>
      <c r="L25" s="8">
        <v>271</v>
      </c>
      <c r="M25" s="8"/>
    </row>
    <row r="26" spans="1:13" ht="15.75">
      <c r="A26" s="1" t="s">
        <v>20</v>
      </c>
      <c r="B26" s="8">
        <v>843.3333333333334</v>
      </c>
      <c r="C26" s="8">
        <v>1077</v>
      </c>
      <c r="D26" s="8"/>
      <c r="E26" s="8">
        <v>8.666666666666666</v>
      </c>
      <c r="F26" s="8">
        <v>13</v>
      </c>
      <c r="G26" s="8"/>
      <c r="H26" s="8">
        <v>559</v>
      </c>
      <c r="I26" s="8">
        <v>593</v>
      </c>
      <c r="J26" s="8"/>
      <c r="K26" s="8">
        <v>275.6666666666667</v>
      </c>
      <c r="L26" s="8">
        <v>471</v>
      </c>
      <c r="M26" s="8"/>
    </row>
    <row r="27" spans="1:13" ht="15.75">
      <c r="A27" s="1" t="s">
        <v>21</v>
      </c>
      <c r="B27" s="8">
        <v>658.3333333333334</v>
      </c>
      <c r="C27" s="8">
        <v>819</v>
      </c>
      <c r="D27" s="8"/>
      <c r="E27" s="8">
        <v>7.666666666666667</v>
      </c>
      <c r="F27" s="8">
        <v>8</v>
      </c>
      <c r="G27" s="8"/>
      <c r="H27" s="8">
        <v>453.3333333333333</v>
      </c>
      <c r="I27" s="8">
        <v>456</v>
      </c>
      <c r="J27" s="8"/>
      <c r="K27" s="8">
        <v>197.33333333333334</v>
      </c>
      <c r="L27" s="8">
        <v>355</v>
      </c>
      <c r="M27" s="8"/>
    </row>
    <row r="28" spans="1:13" ht="15.75">
      <c r="A28" s="1" t="s">
        <v>22</v>
      </c>
      <c r="B28" s="8">
        <v>622.6666666666666</v>
      </c>
      <c r="C28" s="8">
        <v>734</v>
      </c>
      <c r="D28" s="8"/>
      <c r="E28" s="8">
        <v>8.666666666666666</v>
      </c>
      <c r="F28" s="8">
        <v>6</v>
      </c>
      <c r="G28" s="8"/>
      <c r="H28" s="8">
        <v>423.3333333333333</v>
      </c>
      <c r="I28" s="8">
        <v>434</v>
      </c>
      <c r="J28" s="8"/>
      <c r="K28" s="8">
        <v>190.66666666666666</v>
      </c>
      <c r="L28" s="8">
        <v>294</v>
      </c>
      <c r="M28" s="8"/>
    </row>
    <row r="29" spans="1:13" ht="15.75">
      <c r="A29" s="1" t="s">
        <v>23</v>
      </c>
      <c r="B29" s="8">
        <v>4317.666666666667</v>
      </c>
      <c r="C29" s="8">
        <v>4733</v>
      </c>
      <c r="D29" s="8"/>
      <c r="E29" s="8">
        <v>27.333333333333332</v>
      </c>
      <c r="F29" s="8">
        <v>31</v>
      </c>
      <c r="G29" s="8"/>
      <c r="H29" s="8">
        <v>2850.6666666666665</v>
      </c>
      <c r="I29" s="8">
        <v>2829</v>
      </c>
      <c r="J29" s="8"/>
      <c r="K29" s="8">
        <v>1439.6666666666667</v>
      </c>
      <c r="L29" s="8">
        <v>1873</v>
      </c>
      <c r="M29" s="8"/>
    </row>
    <row r="30" spans="1:13" ht="15.75">
      <c r="A30" s="1" t="s">
        <v>24</v>
      </c>
      <c r="B30" s="8">
        <v>12229.333333333334</v>
      </c>
      <c r="C30" s="8">
        <v>12463</v>
      </c>
      <c r="D30" s="8"/>
      <c r="E30" s="8">
        <v>85</v>
      </c>
      <c r="F30" s="8">
        <v>77</v>
      </c>
      <c r="G30" s="8"/>
      <c r="H30" s="8">
        <v>8536.666666666666</v>
      </c>
      <c r="I30" s="8">
        <v>8035</v>
      </c>
      <c r="J30" s="8"/>
      <c r="K30" s="8">
        <v>3607.6666666666665</v>
      </c>
      <c r="L30" s="8">
        <v>4351</v>
      </c>
      <c r="M30" s="8"/>
    </row>
    <row r="31" spans="1:13" ht="15.75">
      <c r="A31" s="1" t="s">
        <v>25</v>
      </c>
      <c r="B31" s="8">
        <v>585.6666666666666</v>
      </c>
      <c r="C31" s="8">
        <v>591</v>
      </c>
      <c r="D31" s="8"/>
      <c r="E31" s="8">
        <v>9.666666666666666</v>
      </c>
      <c r="F31" s="8">
        <v>5</v>
      </c>
      <c r="G31" s="8"/>
      <c r="H31" s="8">
        <v>350.3333333333333</v>
      </c>
      <c r="I31" s="8">
        <v>353</v>
      </c>
      <c r="J31" s="8"/>
      <c r="K31" s="8">
        <v>225.66666666666666</v>
      </c>
      <c r="L31" s="8">
        <v>233</v>
      </c>
      <c r="M31" s="8"/>
    </row>
    <row r="32" spans="1:13" ht="15.75">
      <c r="A32" s="1" t="s">
        <v>26</v>
      </c>
      <c r="B32" s="8">
        <v>597.3333333333334</v>
      </c>
      <c r="C32" s="8">
        <v>604</v>
      </c>
      <c r="D32" s="8"/>
      <c r="E32" s="8">
        <v>6.666666666666667</v>
      </c>
      <c r="F32" s="8">
        <v>7</v>
      </c>
      <c r="G32" s="8"/>
      <c r="H32" s="8">
        <v>382.6666666666667</v>
      </c>
      <c r="I32" s="8">
        <v>375</v>
      </c>
      <c r="J32" s="8"/>
      <c r="K32" s="8">
        <v>208</v>
      </c>
      <c r="L32" s="8">
        <v>222</v>
      </c>
      <c r="M32" s="8"/>
    </row>
    <row r="33" spans="1:13" ht="15.75">
      <c r="A33" s="1" t="s">
        <v>27</v>
      </c>
      <c r="B33" s="8">
        <v>718</v>
      </c>
      <c r="C33" s="8">
        <v>685</v>
      </c>
      <c r="D33" s="8"/>
      <c r="E33" s="8">
        <v>8.333333333333334</v>
      </c>
      <c r="F33" s="8">
        <v>3</v>
      </c>
      <c r="G33" s="8"/>
      <c r="H33" s="8">
        <v>504</v>
      </c>
      <c r="I33" s="8">
        <v>475</v>
      </c>
      <c r="J33" s="8"/>
      <c r="K33" s="8">
        <v>205.66666666666666</v>
      </c>
      <c r="L33" s="8">
        <v>207</v>
      </c>
      <c r="M33" s="8"/>
    </row>
    <row r="34" spans="1:13" ht="15.75">
      <c r="A34" s="1" t="s">
        <v>28</v>
      </c>
      <c r="B34" s="8">
        <v>850</v>
      </c>
      <c r="C34" s="8">
        <v>1219</v>
      </c>
      <c r="D34" s="8"/>
      <c r="E34" s="8">
        <v>12.666666666666666</v>
      </c>
      <c r="F34" s="8">
        <v>14</v>
      </c>
      <c r="G34" s="8"/>
      <c r="H34" s="8">
        <v>610.3333333333334</v>
      </c>
      <c r="I34" s="8">
        <v>626</v>
      </c>
      <c r="J34" s="8"/>
      <c r="K34" s="8">
        <v>227</v>
      </c>
      <c r="L34" s="8">
        <v>579</v>
      </c>
      <c r="M34" s="8"/>
    </row>
    <row r="35" spans="1:13" ht="15.75">
      <c r="A35" s="1" t="s">
        <v>29</v>
      </c>
      <c r="B35" s="8">
        <v>651.6666666666666</v>
      </c>
      <c r="C35" s="8">
        <v>651</v>
      </c>
      <c r="D35" s="8"/>
      <c r="E35" s="8">
        <v>10.333333333333334</v>
      </c>
      <c r="F35" s="8">
        <v>18</v>
      </c>
      <c r="G35" s="8"/>
      <c r="H35" s="8">
        <v>425</v>
      </c>
      <c r="I35" s="8">
        <v>436</v>
      </c>
      <c r="J35" s="8"/>
      <c r="K35" s="8">
        <v>216.33333333333334</v>
      </c>
      <c r="L35" s="8">
        <v>197</v>
      </c>
      <c r="M35" s="8"/>
    </row>
    <row r="36" spans="1:13" ht="15.75">
      <c r="A36" s="1" t="s">
        <v>30</v>
      </c>
      <c r="B36" s="8">
        <v>122</v>
      </c>
      <c r="C36" s="8">
        <v>125</v>
      </c>
      <c r="D36" s="8"/>
      <c r="E36" s="8">
        <v>0.5</v>
      </c>
      <c r="F36" s="7">
        <v>0</v>
      </c>
      <c r="G36" s="8"/>
      <c r="H36" s="8">
        <v>63.666666666666664</v>
      </c>
      <c r="I36" s="8">
        <v>58</v>
      </c>
      <c r="J36" s="8"/>
      <c r="K36" s="8">
        <v>58</v>
      </c>
      <c r="L36" s="8">
        <v>67</v>
      </c>
      <c r="M36" s="8"/>
    </row>
    <row r="37" spans="1:13" ht="15.75">
      <c r="A37" s="1" t="s">
        <v>31</v>
      </c>
      <c r="B37" s="8">
        <v>660</v>
      </c>
      <c r="C37" s="8">
        <v>801</v>
      </c>
      <c r="D37" s="8"/>
      <c r="E37" s="8">
        <v>7</v>
      </c>
      <c r="F37" s="8">
        <v>6</v>
      </c>
      <c r="G37" s="8"/>
      <c r="H37" s="8">
        <v>471.6666666666667</v>
      </c>
      <c r="I37" s="8">
        <v>470</v>
      </c>
      <c r="J37" s="8"/>
      <c r="K37" s="8">
        <v>181.33333333333334</v>
      </c>
      <c r="L37" s="8">
        <v>325</v>
      </c>
      <c r="M37" s="8"/>
    </row>
    <row r="38" spans="1:13" ht="15.75">
      <c r="A38" s="1" t="s">
        <v>32</v>
      </c>
      <c r="B38" s="8">
        <v>1267.3333333333333</v>
      </c>
      <c r="C38" s="8">
        <v>1593</v>
      </c>
      <c r="D38" s="8"/>
      <c r="E38" s="8">
        <v>10.333333333333334</v>
      </c>
      <c r="F38" s="8">
        <v>8</v>
      </c>
      <c r="G38" s="8"/>
      <c r="H38" s="8">
        <v>893.6666666666666</v>
      </c>
      <c r="I38" s="8">
        <v>874</v>
      </c>
      <c r="J38" s="8"/>
      <c r="K38" s="8">
        <v>363.3333333333333</v>
      </c>
      <c r="L38" s="8">
        <v>711</v>
      </c>
      <c r="M38" s="8"/>
    </row>
    <row r="39" spans="1:13" ht="15.75">
      <c r="A39" s="1" t="s">
        <v>33</v>
      </c>
      <c r="B39" s="8">
        <v>314.3333333333333</v>
      </c>
      <c r="C39" s="8">
        <v>420</v>
      </c>
      <c r="D39" s="8"/>
      <c r="E39" s="8">
        <v>5.333333333333333</v>
      </c>
      <c r="F39" s="8">
        <v>4</v>
      </c>
      <c r="G39" s="8"/>
      <c r="H39" s="8">
        <v>189</v>
      </c>
      <c r="I39" s="8">
        <v>184</v>
      </c>
      <c r="J39" s="8"/>
      <c r="K39" s="8">
        <v>120</v>
      </c>
      <c r="L39" s="8">
        <v>232</v>
      </c>
      <c r="M39" s="8"/>
    </row>
    <row r="40" spans="1:13" ht="15.75">
      <c r="A40" s="1" t="s">
        <v>34</v>
      </c>
      <c r="B40" s="8">
        <v>681.3333333333334</v>
      </c>
      <c r="C40" s="8">
        <v>991</v>
      </c>
      <c r="D40" s="8"/>
      <c r="E40" s="8">
        <v>10.333333333333334</v>
      </c>
      <c r="F40" s="8">
        <v>7</v>
      </c>
      <c r="G40" s="8"/>
      <c r="H40" s="8">
        <v>448.3333333333333</v>
      </c>
      <c r="I40" s="8">
        <v>462</v>
      </c>
      <c r="J40" s="8"/>
      <c r="K40" s="8">
        <v>222.66666666666666</v>
      </c>
      <c r="L40" s="8">
        <v>522</v>
      </c>
      <c r="M40" s="8"/>
    </row>
    <row r="41" spans="1:13" ht="15.75">
      <c r="A41" s="1" t="s">
        <v>35</v>
      </c>
      <c r="B41" s="8">
        <v>801</v>
      </c>
      <c r="C41" s="8">
        <v>982</v>
      </c>
      <c r="D41" s="8"/>
      <c r="E41" s="8">
        <v>12.333333333333334</v>
      </c>
      <c r="F41" s="8">
        <v>6</v>
      </c>
      <c r="G41" s="8"/>
      <c r="H41" s="8">
        <v>549.6666666666666</v>
      </c>
      <c r="I41" s="8">
        <v>574</v>
      </c>
      <c r="J41" s="8"/>
      <c r="K41" s="8">
        <v>239</v>
      </c>
      <c r="L41" s="8">
        <v>402</v>
      </c>
      <c r="M41" s="8"/>
    </row>
    <row r="42" spans="1:13" ht="15.75">
      <c r="A42" s="1" t="s">
        <v>36</v>
      </c>
      <c r="B42" s="8">
        <v>9863</v>
      </c>
      <c r="C42" s="8">
        <v>11776</v>
      </c>
      <c r="D42" s="8"/>
      <c r="E42" s="8">
        <v>45</v>
      </c>
      <c r="F42" s="8">
        <v>42</v>
      </c>
      <c r="G42" s="8"/>
      <c r="H42" s="8">
        <v>6434.666666666667</v>
      </c>
      <c r="I42" s="8">
        <v>6345</v>
      </c>
      <c r="J42" s="8"/>
      <c r="K42" s="8">
        <v>3383.3333333333335</v>
      </c>
      <c r="L42" s="8">
        <v>5389</v>
      </c>
      <c r="M42" s="8"/>
    </row>
    <row r="43" spans="1:13" ht="15.75">
      <c r="A43" s="1" t="s">
        <v>37</v>
      </c>
      <c r="B43" s="8">
        <v>707.3333333333334</v>
      </c>
      <c r="C43" s="8">
        <v>850</v>
      </c>
      <c r="D43" s="8"/>
      <c r="E43" s="8">
        <v>6.333333333333333</v>
      </c>
      <c r="F43" s="8">
        <v>4</v>
      </c>
      <c r="G43" s="8"/>
      <c r="H43" s="8">
        <v>468.3333333333333</v>
      </c>
      <c r="I43" s="8">
        <v>493</v>
      </c>
      <c r="J43" s="8"/>
      <c r="K43" s="8">
        <v>232.66666666666666</v>
      </c>
      <c r="L43" s="8">
        <v>353</v>
      </c>
      <c r="M43" s="8"/>
    </row>
    <row r="44" spans="1:13" ht="15.75">
      <c r="A44" s="1" t="s">
        <v>38</v>
      </c>
      <c r="B44" s="8">
        <v>24494.666666666668</v>
      </c>
      <c r="C44" s="8">
        <v>26599</v>
      </c>
      <c r="D44" s="8"/>
      <c r="E44" s="8">
        <v>94.33333333333333</v>
      </c>
      <c r="F44" s="8">
        <v>112</v>
      </c>
      <c r="G44" s="8"/>
      <c r="H44" s="8">
        <v>17100.666666666668</v>
      </c>
      <c r="I44" s="8">
        <v>16828</v>
      </c>
      <c r="J44" s="8"/>
      <c r="K44" s="8">
        <v>7299.666666666667</v>
      </c>
      <c r="L44" s="8">
        <v>9659</v>
      </c>
      <c r="M44" s="8"/>
    </row>
    <row r="45" spans="1:13" ht="15.75">
      <c r="A45" s="1" t="s">
        <v>39</v>
      </c>
      <c r="B45" s="8">
        <v>2689</v>
      </c>
      <c r="C45" s="8">
        <v>2932</v>
      </c>
      <c r="D45" s="8"/>
      <c r="E45" s="8">
        <v>24</v>
      </c>
      <c r="F45" s="8">
        <v>18</v>
      </c>
      <c r="G45" s="8"/>
      <c r="H45" s="8">
        <v>2017.6666666666667</v>
      </c>
      <c r="I45" s="8">
        <v>1930</v>
      </c>
      <c r="J45" s="8"/>
      <c r="K45" s="8">
        <v>647.3333333333334</v>
      </c>
      <c r="L45" s="8">
        <v>984</v>
      </c>
      <c r="M45" s="8"/>
    </row>
    <row r="46" spans="1:13" ht="15.75">
      <c r="A46" s="1" t="s">
        <v>40</v>
      </c>
      <c r="B46" s="8">
        <v>3295.3333333333335</v>
      </c>
      <c r="C46" s="8">
        <v>3576</v>
      </c>
      <c r="D46" s="8"/>
      <c r="E46" s="8">
        <v>23.666666666666668</v>
      </c>
      <c r="F46" s="8">
        <v>23</v>
      </c>
      <c r="G46" s="8"/>
      <c r="H46" s="8">
        <v>2400.6666666666665</v>
      </c>
      <c r="I46" s="8">
        <v>2224</v>
      </c>
      <c r="J46" s="8"/>
      <c r="K46" s="8">
        <v>871</v>
      </c>
      <c r="L46" s="8">
        <v>1329</v>
      </c>
      <c r="M46" s="8"/>
    </row>
    <row r="47" spans="1:13" ht="15.75">
      <c r="A47" s="1" t="s">
        <v>41</v>
      </c>
      <c r="B47" s="8">
        <v>6394</v>
      </c>
      <c r="C47" s="8">
        <v>7313</v>
      </c>
      <c r="D47" s="8"/>
      <c r="E47" s="8">
        <v>34.666666666666664</v>
      </c>
      <c r="F47" s="8">
        <v>39</v>
      </c>
      <c r="G47" s="8"/>
      <c r="H47" s="8">
        <v>4695.333333333333</v>
      </c>
      <c r="I47" s="8">
        <v>4436</v>
      </c>
      <c r="J47" s="8"/>
      <c r="K47" s="8">
        <v>1664</v>
      </c>
      <c r="L47" s="8">
        <v>2838</v>
      </c>
      <c r="M47" s="8"/>
    </row>
    <row r="48" spans="1:13" ht="15.75">
      <c r="A48" s="1" t="s">
        <v>42</v>
      </c>
      <c r="B48" s="8">
        <v>1233.6666666666667</v>
      </c>
      <c r="C48" s="8">
        <v>1956</v>
      </c>
      <c r="D48" s="8"/>
      <c r="E48" s="8">
        <v>16.333333333333332</v>
      </c>
      <c r="F48" s="8">
        <v>11</v>
      </c>
      <c r="G48" s="8"/>
      <c r="H48" s="8">
        <v>833.6666666666666</v>
      </c>
      <c r="I48" s="8">
        <v>904</v>
      </c>
      <c r="J48" s="8"/>
      <c r="K48" s="8">
        <v>383.6666666666667</v>
      </c>
      <c r="L48" s="8">
        <v>1041</v>
      </c>
      <c r="M48" s="8"/>
    </row>
    <row r="49" spans="1:13" ht="15.75">
      <c r="A49" s="1" t="s">
        <v>43</v>
      </c>
      <c r="B49" s="8">
        <v>5451.333333333333</v>
      </c>
      <c r="C49" s="8">
        <v>5528</v>
      </c>
      <c r="D49" s="8"/>
      <c r="E49" s="8">
        <v>39.666666666666664</v>
      </c>
      <c r="F49" s="8">
        <v>39</v>
      </c>
      <c r="G49" s="8"/>
      <c r="H49" s="8">
        <v>3712.3333333333335</v>
      </c>
      <c r="I49" s="8">
        <v>3324</v>
      </c>
      <c r="J49" s="8"/>
      <c r="K49" s="8">
        <v>1699.3333333333333</v>
      </c>
      <c r="L49" s="8">
        <v>2165</v>
      </c>
      <c r="M49" s="8"/>
    </row>
    <row r="50" spans="1:13" ht="15.75">
      <c r="A50" s="1" t="s">
        <v>44</v>
      </c>
      <c r="B50" s="8">
        <v>397.6666666666667</v>
      </c>
      <c r="C50" s="8">
        <v>466</v>
      </c>
      <c r="D50" s="8"/>
      <c r="E50" s="8">
        <v>6.333333333333333</v>
      </c>
      <c r="F50" s="8">
        <v>7</v>
      </c>
      <c r="G50" s="8"/>
      <c r="H50" s="8">
        <v>292.6666666666667</v>
      </c>
      <c r="I50" s="8">
        <v>297</v>
      </c>
      <c r="J50" s="8"/>
      <c r="K50" s="8">
        <v>98.66666666666667</v>
      </c>
      <c r="L50" s="8">
        <v>162</v>
      </c>
      <c r="M50" s="8"/>
    </row>
    <row r="51" spans="1:13" ht="15.75">
      <c r="A51" s="1" t="s">
        <v>45</v>
      </c>
      <c r="B51" s="8">
        <v>1658.3333333333333</v>
      </c>
      <c r="C51" s="8">
        <v>1849</v>
      </c>
      <c r="D51" s="8"/>
      <c r="E51" s="8">
        <v>24</v>
      </c>
      <c r="F51" s="8">
        <v>20</v>
      </c>
      <c r="G51" s="8"/>
      <c r="H51" s="8">
        <v>1211.6666666666667</v>
      </c>
      <c r="I51" s="8">
        <v>1068</v>
      </c>
      <c r="J51" s="8"/>
      <c r="K51" s="8">
        <v>422.6666666666667</v>
      </c>
      <c r="L51" s="8">
        <v>761</v>
      </c>
      <c r="M51" s="8"/>
    </row>
    <row r="52" spans="1:13" ht="15.75">
      <c r="A52" s="1" t="s">
        <v>46</v>
      </c>
      <c r="B52" s="8">
        <v>790</v>
      </c>
      <c r="C52" s="8">
        <v>965</v>
      </c>
      <c r="D52" s="8"/>
      <c r="E52" s="8">
        <v>7.666666666666667</v>
      </c>
      <c r="F52" s="8">
        <v>9</v>
      </c>
      <c r="G52" s="8"/>
      <c r="H52" s="8">
        <v>510.3333333333333</v>
      </c>
      <c r="I52" s="8">
        <v>503</v>
      </c>
      <c r="J52" s="8"/>
      <c r="K52" s="8">
        <v>272</v>
      </c>
      <c r="L52" s="8">
        <v>453</v>
      </c>
      <c r="M52" s="8"/>
    </row>
    <row r="53" spans="1:13" ht="15.75">
      <c r="A53" s="1" t="s">
        <v>47</v>
      </c>
      <c r="B53" s="8">
        <v>1659.6666666666667</v>
      </c>
      <c r="C53" s="8">
        <v>1773</v>
      </c>
      <c r="D53" s="8"/>
      <c r="E53" s="8">
        <v>14.666666666666666</v>
      </c>
      <c r="F53" s="8">
        <v>13</v>
      </c>
      <c r="G53" s="8"/>
      <c r="H53" s="8">
        <v>1022</v>
      </c>
      <c r="I53" s="8">
        <v>1033</v>
      </c>
      <c r="J53" s="8"/>
      <c r="K53" s="8">
        <v>623</v>
      </c>
      <c r="L53" s="8">
        <v>727</v>
      </c>
      <c r="M53" s="8"/>
    </row>
    <row r="54" spans="1:13" ht="15.75">
      <c r="A54" s="1" t="s">
        <v>48</v>
      </c>
      <c r="B54" s="8">
        <v>1904</v>
      </c>
      <c r="C54" s="8">
        <v>1974</v>
      </c>
      <c r="D54" s="8"/>
      <c r="E54" s="8">
        <v>15.666666666666666</v>
      </c>
      <c r="F54" s="8">
        <v>10</v>
      </c>
      <c r="G54" s="8"/>
      <c r="H54" s="8">
        <v>1306.3333333333333</v>
      </c>
      <c r="I54" s="8">
        <v>1279</v>
      </c>
      <c r="J54" s="8"/>
      <c r="K54" s="8">
        <v>582</v>
      </c>
      <c r="L54" s="8">
        <v>685</v>
      </c>
      <c r="M54" s="8"/>
    </row>
    <row r="55" spans="1:13" ht="15.75">
      <c r="A55" s="1" t="s">
        <v>49</v>
      </c>
      <c r="B55" s="8">
        <v>4878</v>
      </c>
      <c r="C55" s="8">
        <v>4748</v>
      </c>
      <c r="D55" s="8"/>
      <c r="E55" s="8">
        <v>19.666666666666668</v>
      </c>
      <c r="F55" s="8">
        <v>26</v>
      </c>
      <c r="G55" s="8"/>
      <c r="H55" s="8">
        <v>3226.3333333333335</v>
      </c>
      <c r="I55" s="8">
        <v>2998</v>
      </c>
      <c r="J55" s="8"/>
      <c r="K55" s="8">
        <v>1632</v>
      </c>
      <c r="L55" s="8">
        <v>1724</v>
      </c>
      <c r="M55" s="8"/>
    </row>
    <row r="56" spans="1:13" ht="15.75">
      <c r="A56" s="1" t="s">
        <v>50</v>
      </c>
      <c r="B56" s="8">
        <v>1123.3333333333333</v>
      </c>
      <c r="C56" s="8">
        <v>1487</v>
      </c>
      <c r="D56" s="8"/>
      <c r="E56" s="8">
        <v>15.333333333333334</v>
      </c>
      <c r="F56" s="8">
        <v>14</v>
      </c>
      <c r="G56" s="8"/>
      <c r="H56" s="8">
        <v>762</v>
      </c>
      <c r="I56" s="8">
        <v>750</v>
      </c>
      <c r="J56" s="8"/>
      <c r="K56" s="8">
        <v>346</v>
      </c>
      <c r="L56" s="8">
        <v>723</v>
      </c>
      <c r="M56" s="8"/>
    </row>
    <row r="57" spans="1:13" ht="15.75">
      <c r="A57" s="1" t="s">
        <v>51</v>
      </c>
      <c r="B57" s="8">
        <v>2174.3333333333335</v>
      </c>
      <c r="C57" s="8">
        <v>2345</v>
      </c>
      <c r="D57" s="8"/>
      <c r="E57" s="8">
        <v>19</v>
      </c>
      <c r="F57" s="8">
        <v>11</v>
      </c>
      <c r="G57" s="8"/>
      <c r="H57" s="8">
        <v>1477.6666666666667</v>
      </c>
      <c r="I57" s="8">
        <v>1514</v>
      </c>
      <c r="J57" s="8"/>
      <c r="K57" s="8">
        <v>677.6666666666666</v>
      </c>
      <c r="L57" s="8">
        <v>820</v>
      </c>
      <c r="M57" s="8"/>
    </row>
    <row r="58" spans="1:13" ht="15.75">
      <c r="A58" s="1" t="s">
        <v>52</v>
      </c>
      <c r="B58" s="8">
        <v>1969.3333333333333</v>
      </c>
      <c r="C58" s="8">
        <v>2151</v>
      </c>
      <c r="D58" s="8"/>
      <c r="E58" s="8">
        <v>7.333333333333333</v>
      </c>
      <c r="F58" s="8">
        <v>6</v>
      </c>
      <c r="G58" s="8"/>
      <c r="H58" s="8">
        <v>1386</v>
      </c>
      <c r="I58" s="8">
        <v>1238</v>
      </c>
      <c r="J58" s="8"/>
      <c r="K58" s="8">
        <v>576</v>
      </c>
      <c r="L58" s="8">
        <v>907</v>
      </c>
      <c r="M58" s="8"/>
    </row>
    <row r="59" spans="1:13" ht="15.75">
      <c r="A59" s="1" t="s">
        <v>53</v>
      </c>
      <c r="B59" s="8">
        <v>384.3333333333333</v>
      </c>
      <c r="C59" s="8">
        <v>366</v>
      </c>
      <c r="D59" s="8"/>
      <c r="E59" s="8">
        <v>7.333333333333333</v>
      </c>
      <c r="F59" s="8">
        <v>5</v>
      </c>
      <c r="G59" s="8"/>
      <c r="H59" s="8">
        <v>258.3333333333333</v>
      </c>
      <c r="I59" s="8">
        <v>231</v>
      </c>
      <c r="J59" s="8"/>
      <c r="K59" s="8">
        <v>118.66666666666667</v>
      </c>
      <c r="L59" s="8">
        <v>130</v>
      </c>
      <c r="M59" s="8"/>
    </row>
    <row r="60" spans="1:13" ht="15.75">
      <c r="A60" s="1" t="s">
        <v>54</v>
      </c>
      <c r="B60" s="8">
        <v>176.66666666666666</v>
      </c>
      <c r="C60" s="8">
        <v>190</v>
      </c>
      <c r="D60" s="8"/>
      <c r="E60" s="8">
        <v>2</v>
      </c>
      <c r="F60" s="8">
        <v>2</v>
      </c>
      <c r="G60" s="8"/>
      <c r="H60" s="8">
        <v>119</v>
      </c>
      <c r="I60" s="8">
        <v>128</v>
      </c>
      <c r="J60" s="8"/>
      <c r="K60" s="8">
        <v>55.666666666666664</v>
      </c>
      <c r="L60" s="8">
        <v>60</v>
      </c>
      <c r="M60" s="8"/>
    </row>
    <row r="61" spans="1:13" ht="15.75">
      <c r="A61" s="1" t="s">
        <v>55</v>
      </c>
      <c r="B61" s="8">
        <v>393.6666666666667</v>
      </c>
      <c r="C61" s="8">
        <v>375</v>
      </c>
      <c r="D61" s="8"/>
      <c r="E61" s="8">
        <v>5.333333333333333</v>
      </c>
      <c r="F61" s="8">
        <v>6</v>
      </c>
      <c r="G61" s="8"/>
      <c r="H61" s="8">
        <v>286.6666666666667</v>
      </c>
      <c r="I61" s="8">
        <v>254</v>
      </c>
      <c r="J61" s="8"/>
      <c r="K61" s="8">
        <v>101.66666666666667</v>
      </c>
      <c r="L61" s="8">
        <v>115</v>
      </c>
      <c r="M61" s="8"/>
    </row>
    <row r="62" spans="1:13" ht="15.75">
      <c r="A62" s="1" t="s">
        <v>56</v>
      </c>
      <c r="B62" s="8">
        <v>991.6666666666666</v>
      </c>
      <c r="C62" s="8">
        <v>1191</v>
      </c>
      <c r="D62" s="8"/>
      <c r="E62" s="8">
        <v>13.333333333333334</v>
      </c>
      <c r="F62" s="8">
        <v>19</v>
      </c>
      <c r="G62" s="8"/>
      <c r="H62" s="8">
        <v>723.6666666666666</v>
      </c>
      <c r="I62" s="8">
        <v>725</v>
      </c>
      <c r="J62" s="8"/>
      <c r="K62" s="8">
        <v>254.66666666666666</v>
      </c>
      <c r="L62" s="8">
        <v>447</v>
      </c>
      <c r="M62" s="8"/>
    </row>
    <row r="63" spans="1:13" ht="15.75">
      <c r="A63" s="1" t="s">
        <v>57</v>
      </c>
      <c r="B63" s="8">
        <v>22257</v>
      </c>
      <c r="C63" s="8">
        <v>23262</v>
      </c>
      <c r="D63" s="8"/>
      <c r="E63" s="8">
        <v>155</v>
      </c>
      <c r="F63" s="8">
        <v>147</v>
      </c>
      <c r="G63" s="8"/>
      <c r="H63" s="8">
        <v>15845.333333333334</v>
      </c>
      <c r="I63" s="8">
        <v>14656</v>
      </c>
      <c r="J63" s="8"/>
      <c r="K63" s="8">
        <v>6256.666666666667</v>
      </c>
      <c r="L63" s="8">
        <v>8459</v>
      </c>
      <c r="M63" s="8"/>
    </row>
    <row r="64" spans="1:13" ht="15.75">
      <c r="A64" s="1" t="s">
        <v>58</v>
      </c>
      <c r="B64" s="8">
        <v>1158</v>
      </c>
      <c r="C64" s="8">
        <v>1236</v>
      </c>
      <c r="D64" s="8"/>
      <c r="E64" s="8">
        <v>9</v>
      </c>
      <c r="F64" s="8">
        <v>10</v>
      </c>
      <c r="G64" s="8"/>
      <c r="H64" s="8">
        <v>809.6666666666666</v>
      </c>
      <c r="I64" s="8">
        <v>809</v>
      </c>
      <c r="J64" s="8"/>
      <c r="K64" s="8">
        <v>339.3333333333333</v>
      </c>
      <c r="L64" s="8">
        <v>417</v>
      </c>
      <c r="M64" s="8"/>
    </row>
    <row r="65" spans="1:13" ht="15.75">
      <c r="A65" s="1" t="s">
        <v>59</v>
      </c>
      <c r="B65" s="8">
        <v>487</v>
      </c>
      <c r="C65" s="8">
        <v>669</v>
      </c>
      <c r="D65" s="8"/>
      <c r="E65" s="8">
        <v>7</v>
      </c>
      <c r="F65" s="8">
        <v>2</v>
      </c>
      <c r="G65" s="8"/>
      <c r="H65" s="8">
        <v>342.6666666666667</v>
      </c>
      <c r="I65" s="8">
        <v>354</v>
      </c>
      <c r="J65" s="8"/>
      <c r="K65" s="8">
        <v>137.33333333333334</v>
      </c>
      <c r="L65" s="8">
        <v>313</v>
      </c>
      <c r="M65" s="8"/>
    </row>
    <row r="66" spans="1:13" ht="15.75">
      <c r="A66" s="1" t="s">
        <v>60</v>
      </c>
      <c r="B66" s="8">
        <v>1166.6666666666667</v>
      </c>
      <c r="C66" s="8">
        <v>1280</v>
      </c>
      <c r="D66" s="8"/>
      <c r="E66" s="8">
        <v>12.666666666666666</v>
      </c>
      <c r="F66" s="8">
        <v>11</v>
      </c>
      <c r="G66" s="8"/>
      <c r="H66" s="8">
        <v>728.6666666666666</v>
      </c>
      <c r="I66" s="8">
        <v>705</v>
      </c>
      <c r="J66" s="8"/>
      <c r="K66" s="8">
        <v>425.3333333333333</v>
      </c>
      <c r="L66" s="8">
        <v>564</v>
      </c>
      <c r="M66" s="8"/>
    </row>
    <row r="67" spans="1:13" ht="15.75">
      <c r="A67" s="1" t="s">
        <v>61</v>
      </c>
      <c r="B67" s="8">
        <v>2729.3333333333335</v>
      </c>
      <c r="C67" s="8">
        <v>2733</v>
      </c>
      <c r="D67" s="8"/>
      <c r="E67" s="8">
        <v>21.333333333333332</v>
      </c>
      <c r="F67" s="8">
        <v>12</v>
      </c>
      <c r="G67" s="8"/>
      <c r="H67" s="8">
        <v>1890.6666666666667</v>
      </c>
      <c r="I67" s="8">
        <v>1826</v>
      </c>
      <c r="J67" s="8"/>
      <c r="K67" s="8">
        <v>817.3333333333334</v>
      </c>
      <c r="L67" s="8">
        <v>895</v>
      </c>
      <c r="M67" s="8"/>
    </row>
    <row r="68" spans="1:13" ht="15.75">
      <c r="A68" s="1" t="s">
        <v>62</v>
      </c>
      <c r="B68" s="8">
        <v>1049.3333333333333</v>
      </c>
      <c r="C68" s="8">
        <v>1176</v>
      </c>
      <c r="D68" s="8"/>
      <c r="E68" s="8">
        <v>11.333333333333334</v>
      </c>
      <c r="F68" s="8">
        <v>11</v>
      </c>
      <c r="G68" s="8"/>
      <c r="H68" s="8">
        <v>744</v>
      </c>
      <c r="I68" s="8">
        <v>717</v>
      </c>
      <c r="J68" s="8"/>
      <c r="K68" s="8">
        <v>294</v>
      </c>
      <c r="L68" s="8">
        <v>448</v>
      </c>
      <c r="M68" s="8"/>
    </row>
    <row r="69" spans="1:13" ht="15.75">
      <c r="A69" s="1" t="s">
        <v>63</v>
      </c>
      <c r="B69" s="8">
        <v>675.6666666666666</v>
      </c>
      <c r="C69" s="8">
        <v>733</v>
      </c>
      <c r="D69" s="8"/>
      <c r="E69" s="8">
        <v>6.333333333333333</v>
      </c>
      <c r="F69" s="8">
        <v>6</v>
      </c>
      <c r="G69" s="8"/>
      <c r="H69" s="8">
        <v>483.6666666666667</v>
      </c>
      <c r="I69" s="8">
        <v>470</v>
      </c>
      <c r="J69" s="8"/>
      <c r="K69" s="8">
        <v>185.66666666666666</v>
      </c>
      <c r="L69" s="8">
        <v>257</v>
      </c>
      <c r="M69" s="8"/>
    </row>
    <row r="70" spans="1:13" ht="15.75">
      <c r="A70" s="1" t="s">
        <v>64</v>
      </c>
      <c r="B70" s="8">
        <v>999.6666666666666</v>
      </c>
      <c r="C70" s="8">
        <v>1186</v>
      </c>
      <c r="D70" s="8"/>
      <c r="E70" s="8">
        <v>15.666666666666666</v>
      </c>
      <c r="F70" s="8">
        <v>16</v>
      </c>
      <c r="G70" s="8"/>
      <c r="H70" s="8">
        <v>720</v>
      </c>
      <c r="I70" s="8">
        <v>679</v>
      </c>
      <c r="J70" s="8"/>
      <c r="K70" s="8">
        <v>264</v>
      </c>
      <c r="L70" s="8">
        <v>491</v>
      </c>
      <c r="M70" s="8"/>
    </row>
    <row r="71" spans="1:13" ht="15.75">
      <c r="A71" s="1" t="s">
        <v>65</v>
      </c>
      <c r="B71" s="8">
        <v>13859.666666666666</v>
      </c>
      <c r="C71" s="8">
        <v>14097</v>
      </c>
      <c r="D71" s="8"/>
      <c r="E71" s="8">
        <v>60.333333333333336</v>
      </c>
      <c r="F71" s="8">
        <v>54</v>
      </c>
      <c r="G71" s="8"/>
      <c r="H71" s="8">
        <v>8799</v>
      </c>
      <c r="I71" s="8">
        <v>8577</v>
      </c>
      <c r="J71" s="8"/>
      <c r="K71" s="8">
        <v>5000.333333333333</v>
      </c>
      <c r="L71" s="8">
        <v>5466</v>
      </c>
      <c r="M71" s="8"/>
    </row>
    <row r="72" spans="1:13" ht="15.75">
      <c r="A72" s="1" t="s">
        <v>66</v>
      </c>
      <c r="B72" s="8">
        <v>457</v>
      </c>
      <c r="C72" s="8">
        <v>515</v>
      </c>
      <c r="D72" s="8"/>
      <c r="E72" s="8">
        <v>7.333333333333333</v>
      </c>
      <c r="F72" s="8">
        <v>11</v>
      </c>
      <c r="G72" s="8"/>
      <c r="H72" s="8">
        <v>315.6666666666667</v>
      </c>
      <c r="I72" s="8">
        <v>305</v>
      </c>
      <c r="J72" s="8"/>
      <c r="K72" s="8">
        <v>134</v>
      </c>
      <c r="L72" s="8">
        <v>199</v>
      </c>
      <c r="M72" s="8"/>
    </row>
    <row r="73" spans="1:13" ht="15.75">
      <c r="A73" s="1" t="s">
        <v>67</v>
      </c>
      <c r="B73" s="8">
        <v>208.33333333333334</v>
      </c>
      <c r="C73" s="8">
        <v>202</v>
      </c>
      <c r="D73" s="8"/>
      <c r="E73" s="8">
        <v>4.5</v>
      </c>
      <c r="F73" s="8">
        <v>4</v>
      </c>
      <c r="G73" s="8"/>
      <c r="H73" s="8">
        <v>149.66666666666666</v>
      </c>
      <c r="I73" s="8">
        <v>133</v>
      </c>
      <c r="J73" s="8"/>
      <c r="K73" s="8">
        <v>55.666666666666664</v>
      </c>
      <c r="L73" s="8">
        <v>65</v>
      </c>
      <c r="M73" s="8"/>
    </row>
    <row r="74" spans="1:13" ht="15.75">
      <c r="A74" s="3"/>
      <c r="B74" s="14"/>
      <c r="C74" s="14"/>
      <c r="D74" s="14"/>
      <c r="E74" s="14"/>
      <c r="F74" s="14"/>
      <c r="G74" s="14"/>
      <c r="H74" s="14"/>
      <c r="I74" s="14"/>
      <c r="J74" s="14"/>
      <c r="K74" s="14"/>
      <c r="L74" s="14"/>
      <c r="M74" s="8"/>
    </row>
    <row r="75" spans="1:13" ht="46.5" customHeight="1">
      <c r="A75" s="31" t="s">
        <v>94</v>
      </c>
      <c r="B75" s="31"/>
      <c r="C75" s="31"/>
      <c r="D75" s="31"/>
      <c r="E75" s="31"/>
      <c r="F75" s="31"/>
      <c r="G75" s="31"/>
      <c r="H75" s="31"/>
      <c r="I75" s="31"/>
      <c r="J75" s="31"/>
      <c r="K75" s="31"/>
      <c r="L75" s="31"/>
      <c r="M75" s="8"/>
    </row>
    <row r="76" spans="1:13" ht="15.75">
      <c r="A76" s="21"/>
      <c r="B76" s="22"/>
      <c r="C76" s="22"/>
      <c r="D76" s="22"/>
      <c r="E76" s="22"/>
      <c r="F76" s="22"/>
      <c r="G76" s="22"/>
      <c r="H76" s="22"/>
      <c r="I76" s="22"/>
      <c r="J76" s="22"/>
      <c r="K76" s="22"/>
      <c r="L76" s="22"/>
      <c r="M76" s="8"/>
    </row>
    <row r="77" spans="1:13" ht="33.75" customHeight="1">
      <c r="A77" s="31" t="s">
        <v>107</v>
      </c>
      <c r="B77" s="31"/>
      <c r="C77" s="31"/>
      <c r="D77" s="31"/>
      <c r="E77" s="31"/>
      <c r="F77" s="31"/>
      <c r="G77" s="31"/>
      <c r="H77" s="31"/>
      <c r="I77" s="31"/>
      <c r="J77" s="31"/>
      <c r="K77" s="31"/>
      <c r="L77" s="31"/>
      <c r="M77" s="8"/>
    </row>
    <row r="78" spans="1:13" ht="15.75">
      <c r="A78" s="1"/>
      <c r="B78" s="1"/>
      <c r="C78" s="1"/>
      <c r="D78" s="1"/>
      <c r="E78" s="1"/>
      <c r="F78" s="1"/>
      <c r="G78" s="1"/>
      <c r="H78" s="1"/>
      <c r="I78" s="1"/>
      <c r="J78" s="1"/>
      <c r="K78" s="1"/>
      <c r="L78" s="1"/>
      <c r="M78" s="8"/>
    </row>
    <row r="79" spans="1:13" ht="15.75">
      <c r="A79" s="1" t="s">
        <v>68</v>
      </c>
      <c r="B79" s="1"/>
      <c r="C79" s="1"/>
      <c r="D79" s="1"/>
      <c r="E79" s="1"/>
      <c r="F79" s="1"/>
      <c r="G79" s="1"/>
      <c r="H79" s="1"/>
      <c r="I79" s="1"/>
      <c r="J79" s="1"/>
      <c r="K79" s="1"/>
      <c r="L79" s="1"/>
      <c r="M79" s="8"/>
    </row>
    <row r="80" spans="1:13" ht="15.75">
      <c r="A80" s="1"/>
      <c r="B80" s="8"/>
      <c r="C80" s="8"/>
      <c r="D80" s="8"/>
      <c r="E80" s="8"/>
      <c r="F80" s="8"/>
      <c r="G80" s="8"/>
      <c r="H80" s="8"/>
      <c r="I80" s="8"/>
      <c r="J80" s="8"/>
      <c r="K80" s="8"/>
      <c r="L80" s="8"/>
      <c r="M80" s="8"/>
    </row>
    <row r="81" spans="1:13" ht="15.75">
      <c r="A81" s="1"/>
      <c r="B81" s="8"/>
      <c r="C81" s="8"/>
      <c r="D81" s="8"/>
      <c r="E81" s="8"/>
      <c r="F81" s="8"/>
      <c r="G81" s="8"/>
      <c r="H81" s="8"/>
      <c r="I81" s="8"/>
      <c r="J81" s="8"/>
      <c r="K81" s="8"/>
      <c r="L81" s="8"/>
      <c r="M81" s="8"/>
    </row>
    <row r="82" spans="1:13" ht="15.75">
      <c r="A82" s="1"/>
      <c r="B82" s="8"/>
      <c r="C82" s="8"/>
      <c r="D82" s="8"/>
      <c r="E82" s="8"/>
      <c r="F82" s="8"/>
      <c r="G82" s="8"/>
      <c r="H82" s="8"/>
      <c r="I82" s="8"/>
      <c r="J82" s="8"/>
      <c r="K82" s="8"/>
      <c r="L82" s="8"/>
      <c r="M82" s="8"/>
    </row>
    <row r="83" spans="1:13" ht="15.75">
      <c r="A83" s="1"/>
      <c r="B83" s="8"/>
      <c r="C83" s="8"/>
      <c r="D83" s="8"/>
      <c r="E83" s="8"/>
      <c r="F83" s="8"/>
      <c r="G83" s="8"/>
      <c r="H83" s="8"/>
      <c r="I83" s="8"/>
      <c r="J83" s="8"/>
      <c r="K83" s="8"/>
      <c r="L83" s="8"/>
      <c r="M83" s="8"/>
    </row>
    <row r="84" spans="1:13" ht="15.75">
      <c r="A84" s="1"/>
      <c r="B84" s="8"/>
      <c r="C84" s="8"/>
      <c r="D84" s="8"/>
      <c r="E84" s="8"/>
      <c r="F84" s="8"/>
      <c r="G84" s="8"/>
      <c r="H84" s="8"/>
      <c r="I84" s="8"/>
      <c r="J84" s="8"/>
      <c r="K84" s="8"/>
      <c r="L84" s="8"/>
      <c r="M84" s="8"/>
    </row>
    <row r="85" spans="1:13" ht="15.75">
      <c r="A85" s="1"/>
      <c r="B85" s="8"/>
      <c r="C85" s="8"/>
      <c r="D85" s="8"/>
      <c r="E85" s="8"/>
      <c r="F85" s="8"/>
      <c r="G85" s="8"/>
      <c r="H85" s="8"/>
      <c r="I85" s="8"/>
      <c r="J85" s="8"/>
      <c r="K85" s="8"/>
      <c r="L85" s="8"/>
      <c r="M85" s="8"/>
    </row>
    <row r="86" spans="1:13" ht="15.75">
      <c r="A86" s="1"/>
      <c r="B86" s="1"/>
      <c r="C86" s="1"/>
      <c r="D86" s="1"/>
      <c r="E86" s="1"/>
      <c r="F86" s="1"/>
      <c r="G86" s="1"/>
      <c r="H86" s="1"/>
      <c r="I86" s="1"/>
      <c r="J86" s="1"/>
      <c r="K86" s="1"/>
      <c r="L86" s="1"/>
      <c r="M86" s="1"/>
    </row>
    <row r="87" spans="1:13" ht="15.75">
      <c r="A87" s="1"/>
      <c r="B87" s="1"/>
      <c r="C87" s="1"/>
      <c r="D87" s="1"/>
      <c r="E87" s="1"/>
      <c r="F87" s="1"/>
      <c r="G87" s="1"/>
      <c r="H87" s="1"/>
      <c r="I87" s="1"/>
      <c r="J87" s="1"/>
      <c r="K87" s="1"/>
      <c r="L87" s="1"/>
      <c r="M87" s="1"/>
    </row>
    <row r="88" spans="1:13" ht="15.75">
      <c r="A88" s="1"/>
      <c r="B88" s="1"/>
      <c r="C88" s="1"/>
      <c r="D88" s="1"/>
      <c r="E88" s="1"/>
      <c r="F88" s="1"/>
      <c r="G88" s="1"/>
      <c r="H88" s="1"/>
      <c r="I88" s="1"/>
      <c r="J88" s="1"/>
      <c r="K88" s="1"/>
      <c r="L88" s="1"/>
      <c r="M88" s="1"/>
    </row>
    <row r="89" spans="1:13" ht="15.75">
      <c r="A89" s="1"/>
      <c r="B89" s="1"/>
      <c r="C89" s="1"/>
      <c r="D89" s="1"/>
      <c r="E89" s="1"/>
      <c r="F89" s="1"/>
      <c r="G89" s="1"/>
      <c r="H89" s="1"/>
      <c r="I89" s="1"/>
      <c r="J89" s="1"/>
      <c r="K89" s="1"/>
      <c r="L89" s="1"/>
      <c r="M89" s="1"/>
    </row>
    <row r="90" spans="1:13" ht="15.75">
      <c r="A90" s="1"/>
      <c r="B90" s="1"/>
      <c r="C90" s="1"/>
      <c r="D90" s="1"/>
      <c r="E90" s="1"/>
      <c r="F90" s="1"/>
      <c r="G90" s="1"/>
      <c r="H90" s="1"/>
      <c r="I90" s="1"/>
      <c r="J90" s="1"/>
      <c r="K90" s="1"/>
      <c r="L90" s="1"/>
      <c r="M90" s="1"/>
    </row>
  </sheetData>
  <sheetProtection/>
  <mergeCells count="6">
    <mergeCell ref="B4:C4"/>
    <mergeCell ref="E4:F4"/>
    <mergeCell ref="H4:I4"/>
    <mergeCell ref="K4:L4"/>
    <mergeCell ref="A75:L75"/>
    <mergeCell ref="A77:L7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92"/>
  <sheetViews>
    <sheetView zoomScalePageLayoutView="0" workbookViewId="0" topLeftCell="A1">
      <selection activeCell="A81" sqref="A81"/>
    </sheetView>
  </sheetViews>
  <sheetFormatPr defaultColWidth="8.88671875" defaultRowHeight="15.75"/>
  <cols>
    <col min="1" max="1" width="25.77734375" style="0" customWidth="1"/>
    <col min="2" max="3" width="10.77734375" style="0" customWidth="1"/>
    <col min="4" max="4" width="2.77734375" style="0" customWidth="1"/>
    <col min="5" max="6" width="10.77734375" style="0" customWidth="1"/>
    <col min="7" max="7" width="2.77734375" style="0" customWidth="1"/>
    <col min="8" max="9" width="10.77734375" style="0" customWidth="1"/>
    <col min="10" max="10" width="2.77734375" style="0" customWidth="1"/>
    <col min="11" max="16384" width="10.77734375" style="0" customWidth="1"/>
  </cols>
  <sheetData>
    <row r="1" spans="1:12" ht="20.25">
      <c r="A1" s="12" t="s">
        <v>0</v>
      </c>
      <c r="B1" s="1"/>
      <c r="C1" s="2"/>
      <c r="D1" s="1"/>
      <c r="E1" s="1"/>
      <c r="F1" s="1"/>
      <c r="G1" s="1"/>
      <c r="H1" s="1"/>
      <c r="I1" s="1"/>
      <c r="J1" s="1"/>
      <c r="K1" s="1"/>
      <c r="L1" s="1"/>
    </row>
    <row r="2" spans="1:12" ht="20.25">
      <c r="A2" s="12" t="s">
        <v>113</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103</v>
      </c>
      <c r="C4" s="30"/>
      <c r="D4" s="3"/>
      <c r="E4" s="30" t="s">
        <v>69</v>
      </c>
      <c r="F4" s="30"/>
      <c r="G4" s="3"/>
      <c r="H4" s="30" t="s">
        <v>70</v>
      </c>
      <c r="I4" s="30"/>
      <c r="J4" s="3"/>
      <c r="K4" s="30" t="s">
        <v>104</v>
      </c>
      <c r="L4" s="30"/>
    </row>
    <row r="5" spans="1:12" ht="29.25">
      <c r="A5" s="4" t="s">
        <v>1</v>
      </c>
      <c r="B5" s="17" t="s">
        <v>114</v>
      </c>
      <c r="C5" s="5">
        <v>1996</v>
      </c>
      <c r="D5" s="4"/>
      <c r="E5" s="17" t="s">
        <v>114</v>
      </c>
      <c r="F5" s="5">
        <v>1996</v>
      </c>
      <c r="G5" s="4"/>
      <c r="H5" s="17" t="s">
        <v>114</v>
      </c>
      <c r="I5" s="5">
        <v>1996</v>
      </c>
      <c r="J5" s="4"/>
      <c r="K5" s="17" t="s">
        <v>114</v>
      </c>
      <c r="L5" s="5">
        <v>1996</v>
      </c>
    </row>
    <row r="6" spans="1:12" ht="15.75">
      <c r="A6" s="1"/>
      <c r="B6" s="1"/>
      <c r="C6" s="2"/>
      <c r="D6" s="1"/>
      <c r="E6" s="1"/>
      <c r="F6" s="1"/>
      <c r="G6" s="1"/>
      <c r="H6" s="6"/>
      <c r="I6" s="1"/>
      <c r="J6" s="1"/>
      <c r="K6" s="1"/>
      <c r="L6" s="1"/>
    </row>
    <row r="7" spans="1:12" ht="15.75">
      <c r="A7" s="1" t="s">
        <v>2</v>
      </c>
      <c r="B7" s="8">
        <v>256509.66666666666</v>
      </c>
      <c r="C7" s="8">
        <v>250667</v>
      </c>
      <c r="D7" s="8" t="s">
        <v>3</v>
      </c>
      <c r="E7" s="8">
        <v>1570.8333333333333</v>
      </c>
      <c r="F7" s="8">
        <v>1451</v>
      </c>
      <c r="G7" s="8"/>
      <c r="H7" s="8">
        <v>191049.33333333334</v>
      </c>
      <c r="I7" s="8">
        <v>185767</v>
      </c>
      <c r="J7" s="8"/>
      <c r="K7" s="8">
        <v>63891</v>
      </c>
      <c r="L7" s="8">
        <v>63449</v>
      </c>
    </row>
    <row r="8" spans="1:12" ht="15.75">
      <c r="A8" s="1"/>
      <c r="B8" s="8"/>
      <c r="C8" s="8"/>
      <c r="D8" s="8"/>
      <c r="E8" s="8"/>
      <c r="F8" s="8"/>
      <c r="G8" s="8" t="s">
        <v>3</v>
      </c>
      <c r="H8" s="8"/>
      <c r="I8" s="8"/>
      <c r="J8" s="8" t="s">
        <v>3</v>
      </c>
      <c r="K8" s="8"/>
      <c r="L8" s="8"/>
    </row>
    <row r="9" spans="1:12" ht="15.75">
      <c r="A9" s="1" t="s">
        <v>4</v>
      </c>
      <c r="B9" s="8">
        <v>99086.66666666667</v>
      </c>
      <c r="C9" s="8">
        <v>93594</v>
      </c>
      <c r="D9" s="8" t="s">
        <v>3</v>
      </c>
      <c r="E9" s="8">
        <v>444.66666666666663</v>
      </c>
      <c r="F9" s="8">
        <v>380</v>
      </c>
      <c r="G9" s="8"/>
      <c r="H9" s="8">
        <v>81738</v>
      </c>
      <c r="I9" s="8">
        <v>77948</v>
      </c>
      <c r="J9" s="8"/>
      <c r="K9" s="8">
        <v>16904</v>
      </c>
      <c r="L9" s="8">
        <v>15266</v>
      </c>
    </row>
    <row r="10" spans="1:12" ht="15.75">
      <c r="A10" s="1" t="s">
        <v>5</v>
      </c>
      <c r="B10" s="8">
        <v>13626.666666666666</v>
      </c>
      <c r="C10" s="8">
        <v>12899</v>
      </c>
      <c r="D10" s="8"/>
      <c r="E10" s="8">
        <v>72.33333333333333</v>
      </c>
      <c r="F10" s="8">
        <v>54</v>
      </c>
      <c r="G10" s="8"/>
      <c r="H10" s="8">
        <v>11216.666666666666</v>
      </c>
      <c r="I10" s="8">
        <v>10611</v>
      </c>
      <c r="J10" s="8"/>
      <c r="K10" s="8">
        <v>2337.6666666666665</v>
      </c>
      <c r="L10" s="8">
        <v>2234</v>
      </c>
    </row>
    <row r="11" spans="1:12" ht="15.75">
      <c r="A11" s="1" t="s">
        <v>6</v>
      </c>
      <c r="B11" s="8">
        <v>30512</v>
      </c>
      <c r="C11" s="8">
        <v>28505</v>
      </c>
      <c r="D11" s="8"/>
      <c r="E11" s="8">
        <v>125.33333333333333</v>
      </c>
      <c r="F11" s="8">
        <v>109</v>
      </c>
      <c r="G11" s="8"/>
      <c r="H11" s="8">
        <v>26325.333333333332</v>
      </c>
      <c r="I11" s="8">
        <v>25063</v>
      </c>
      <c r="J11" s="8"/>
      <c r="K11" s="8">
        <v>4061.3333333333335</v>
      </c>
      <c r="L11" s="8">
        <v>3333</v>
      </c>
    </row>
    <row r="12" spans="1:12" ht="15.75">
      <c r="A12" s="1" t="s">
        <v>7</v>
      </c>
      <c r="B12" s="8">
        <v>20131</v>
      </c>
      <c r="C12" s="8">
        <v>19219</v>
      </c>
      <c r="D12" s="8"/>
      <c r="E12" s="8">
        <v>92.33333333333333</v>
      </c>
      <c r="F12" s="8">
        <v>84</v>
      </c>
      <c r="G12" s="8"/>
      <c r="H12" s="8">
        <v>16750.333333333332</v>
      </c>
      <c r="I12" s="8">
        <v>15825</v>
      </c>
      <c r="J12" s="8"/>
      <c r="K12" s="8">
        <v>3288.3333333333335</v>
      </c>
      <c r="L12" s="8">
        <v>3310</v>
      </c>
    </row>
    <row r="13" spans="1:12" ht="15.75">
      <c r="A13" s="1" t="s">
        <v>8</v>
      </c>
      <c r="B13" s="8">
        <v>29483.333333333332</v>
      </c>
      <c r="C13" s="8">
        <v>27703</v>
      </c>
      <c r="D13" s="8"/>
      <c r="E13" s="8">
        <v>135</v>
      </c>
      <c r="F13" s="8">
        <v>116</v>
      </c>
      <c r="G13" s="8"/>
      <c r="H13" s="8">
        <v>23269.666666666668</v>
      </c>
      <c r="I13" s="8">
        <v>22205</v>
      </c>
      <c r="J13" s="8"/>
      <c r="K13" s="8">
        <v>6078.666666666667</v>
      </c>
      <c r="L13" s="8">
        <v>5382</v>
      </c>
    </row>
    <row r="14" spans="1:12" ht="15.75">
      <c r="A14" s="1" t="s">
        <v>9</v>
      </c>
      <c r="B14" s="8">
        <v>5333.666666666667</v>
      </c>
      <c r="C14" s="8">
        <v>5268</v>
      </c>
      <c r="D14" s="8"/>
      <c r="E14" s="8">
        <v>19.666666666666668</v>
      </c>
      <c r="F14" s="8">
        <v>17</v>
      </c>
      <c r="G14" s="8"/>
      <c r="H14" s="8">
        <v>4176</v>
      </c>
      <c r="I14" s="8">
        <v>4244</v>
      </c>
      <c r="J14" s="8"/>
      <c r="K14" s="8">
        <v>1138</v>
      </c>
      <c r="L14" s="8">
        <v>1007</v>
      </c>
    </row>
    <row r="15" spans="1:12" ht="15.75">
      <c r="A15" s="1"/>
      <c r="B15" s="8"/>
      <c r="C15" s="8"/>
      <c r="D15" s="8"/>
      <c r="E15" s="8"/>
      <c r="F15" s="8"/>
      <c r="G15" s="8"/>
      <c r="H15" s="8"/>
      <c r="I15" s="8"/>
      <c r="J15" s="8"/>
      <c r="K15" s="8"/>
      <c r="L15" s="8"/>
    </row>
    <row r="16" spans="1:12" ht="15.75">
      <c r="A16" s="1" t="s">
        <v>10</v>
      </c>
      <c r="B16" s="8">
        <v>157423</v>
      </c>
      <c r="C16" s="8">
        <v>157073</v>
      </c>
      <c r="D16" s="8" t="s">
        <v>3</v>
      </c>
      <c r="E16" s="8">
        <v>1126.1666666666667</v>
      </c>
      <c r="F16" s="8">
        <v>1071</v>
      </c>
      <c r="G16" s="8"/>
      <c r="H16" s="8">
        <v>109311.33333333333</v>
      </c>
      <c r="I16" s="8">
        <v>107819</v>
      </c>
      <c r="J16" s="8"/>
      <c r="K16" s="8">
        <v>46987</v>
      </c>
      <c r="L16" s="8">
        <v>48183</v>
      </c>
    </row>
    <row r="17" spans="1:12" ht="15.75">
      <c r="A17" s="1" t="s">
        <v>11</v>
      </c>
      <c r="B17" s="8">
        <v>4692</v>
      </c>
      <c r="C17" s="8">
        <v>4768</v>
      </c>
      <c r="D17" s="8"/>
      <c r="E17" s="8">
        <v>18.333333333333332</v>
      </c>
      <c r="F17" s="8">
        <v>14</v>
      </c>
      <c r="G17" s="8"/>
      <c r="H17" s="8">
        <v>3194.6666666666665</v>
      </c>
      <c r="I17" s="8">
        <v>3205</v>
      </c>
      <c r="J17" s="8"/>
      <c r="K17" s="8">
        <v>1479</v>
      </c>
      <c r="L17" s="8">
        <v>1549</v>
      </c>
    </row>
    <row r="18" spans="1:12" ht="15.75">
      <c r="A18" s="1" t="s">
        <v>12</v>
      </c>
      <c r="B18" s="8">
        <v>514.3333333333334</v>
      </c>
      <c r="C18" s="8">
        <v>545</v>
      </c>
      <c r="D18" s="8"/>
      <c r="E18" s="8">
        <v>8.666666666666666</v>
      </c>
      <c r="F18" s="8">
        <v>7</v>
      </c>
      <c r="G18" s="8"/>
      <c r="H18" s="8">
        <v>354</v>
      </c>
      <c r="I18" s="8">
        <v>340</v>
      </c>
      <c r="J18" s="8"/>
      <c r="K18" s="8">
        <v>151.66666666666666</v>
      </c>
      <c r="L18" s="8">
        <v>198</v>
      </c>
    </row>
    <row r="19" spans="1:12" ht="15.75">
      <c r="A19" s="1" t="s">
        <v>13</v>
      </c>
      <c r="B19" s="8">
        <v>2508.6666666666665</v>
      </c>
      <c r="C19" s="8">
        <v>2580</v>
      </c>
      <c r="D19" s="8"/>
      <c r="E19" s="8">
        <v>17.333333333333332</v>
      </c>
      <c r="F19" s="8">
        <v>17</v>
      </c>
      <c r="G19" s="8"/>
      <c r="H19" s="8">
        <v>1859.6666666666667</v>
      </c>
      <c r="I19" s="8">
        <v>1896</v>
      </c>
      <c r="J19" s="8"/>
      <c r="K19" s="8">
        <v>631.6666666666666</v>
      </c>
      <c r="L19" s="8">
        <v>667</v>
      </c>
    </row>
    <row r="20" spans="1:12" ht="15.75">
      <c r="A20" s="1" t="s">
        <v>14</v>
      </c>
      <c r="B20" s="8">
        <v>942.3333333333334</v>
      </c>
      <c r="C20" s="8">
        <v>1029</v>
      </c>
      <c r="D20" s="8"/>
      <c r="E20" s="8">
        <v>13.333333333333334</v>
      </c>
      <c r="F20" s="8">
        <v>12</v>
      </c>
      <c r="G20" s="8"/>
      <c r="H20" s="8">
        <v>647.6666666666666</v>
      </c>
      <c r="I20" s="8">
        <v>662</v>
      </c>
      <c r="J20" s="8"/>
      <c r="K20" s="8">
        <v>281.3333333333333</v>
      </c>
      <c r="L20" s="8">
        <v>355</v>
      </c>
    </row>
    <row r="21" spans="1:12" ht="15.75">
      <c r="A21" s="1" t="s">
        <v>15</v>
      </c>
      <c r="B21" s="8">
        <v>924</v>
      </c>
      <c r="C21" s="8">
        <v>941</v>
      </c>
      <c r="D21" s="8"/>
      <c r="E21" s="8">
        <v>9.666666666666666</v>
      </c>
      <c r="F21" s="8">
        <v>14</v>
      </c>
      <c r="G21" s="8"/>
      <c r="H21" s="8">
        <v>728.6666666666666</v>
      </c>
      <c r="I21" s="8">
        <v>709</v>
      </c>
      <c r="J21" s="8"/>
      <c r="K21" s="8">
        <v>185.66666666666666</v>
      </c>
      <c r="L21" s="8">
        <v>218</v>
      </c>
    </row>
    <row r="22" spans="1:12" ht="15.75">
      <c r="A22" s="1" t="s">
        <v>16</v>
      </c>
      <c r="B22" s="8">
        <v>1622</v>
      </c>
      <c r="C22" s="8">
        <v>1770</v>
      </c>
      <c r="D22" s="8"/>
      <c r="E22" s="8">
        <v>23.333333333333332</v>
      </c>
      <c r="F22" s="8">
        <v>26</v>
      </c>
      <c r="G22" s="8"/>
      <c r="H22" s="8">
        <v>1192.3333333333333</v>
      </c>
      <c r="I22" s="8">
        <v>1248</v>
      </c>
      <c r="J22" s="8"/>
      <c r="K22" s="8">
        <v>406.3333333333333</v>
      </c>
      <c r="L22" s="8">
        <v>496</v>
      </c>
    </row>
    <row r="23" spans="1:12" ht="15.75">
      <c r="A23" s="1" t="s">
        <v>17</v>
      </c>
      <c r="B23" s="8">
        <v>975.3333333333334</v>
      </c>
      <c r="C23" s="8">
        <v>877</v>
      </c>
      <c r="D23" s="8"/>
      <c r="E23" s="8">
        <v>8.666666666666666</v>
      </c>
      <c r="F23" s="8">
        <v>4</v>
      </c>
      <c r="G23" s="8"/>
      <c r="H23" s="8">
        <v>704.3333333333334</v>
      </c>
      <c r="I23" s="8">
        <v>623</v>
      </c>
      <c r="J23" s="8"/>
      <c r="K23" s="8">
        <v>262.3333333333333</v>
      </c>
      <c r="L23" s="8">
        <v>250</v>
      </c>
    </row>
    <row r="24" spans="1:12" ht="15.75">
      <c r="A24" s="1" t="s">
        <v>18</v>
      </c>
      <c r="B24" s="8">
        <v>617.6666666666666</v>
      </c>
      <c r="C24" s="8">
        <v>588</v>
      </c>
      <c r="D24" s="8"/>
      <c r="E24" s="8">
        <v>7.666666666666667</v>
      </c>
      <c r="F24" s="8">
        <v>8</v>
      </c>
      <c r="G24" s="8"/>
      <c r="H24" s="8">
        <v>432.6666666666667</v>
      </c>
      <c r="I24" s="8">
        <v>412</v>
      </c>
      <c r="J24" s="8"/>
      <c r="K24" s="8">
        <v>177.33333333333334</v>
      </c>
      <c r="L24" s="8">
        <v>168</v>
      </c>
    </row>
    <row r="25" spans="1:12" ht="15.75">
      <c r="A25" s="1" t="s">
        <v>19</v>
      </c>
      <c r="B25" s="8">
        <v>993.6666666666666</v>
      </c>
      <c r="C25" s="8">
        <v>914</v>
      </c>
      <c r="D25" s="8"/>
      <c r="E25" s="8">
        <v>13.333333333333334</v>
      </c>
      <c r="F25" s="8">
        <v>12</v>
      </c>
      <c r="G25" s="8"/>
      <c r="H25" s="8">
        <v>670.6666666666666</v>
      </c>
      <c r="I25" s="8">
        <v>643</v>
      </c>
      <c r="J25" s="8"/>
      <c r="K25" s="8">
        <v>309.6666666666667</v>
      </c>
      <c r="L25" s="8">
        <v>259</v>
      </c>
    </row>
    <row r="26" spans="1:12" ht="15.75">
      <c r="A26" s="1" t="s">
        <v>20</v>
      </c>
      <c r="B26" s="8">
        <v>847.6666666666666</v>
      </c>
      <c r="C26" s="8">
        <v>841</v>
      </c>
      <c r="D26" s="8"/>
      <c r="E26" s="8">
        <v>9.333333333333334</v>
      </c>
      <c r="F26" s="8">
        <v>11</v>
      </c>
      <c r="G26" s="8"/>
      <c r="H26" s="8">
        <v>572.3333333333334</v>
      </c>
      <c r="I26" s="8">
        <v>554</v>
      </c>
      <c r="J26" s="8"/>
      <c r="K26" s="8">
        <v>266</v>
      </c>
      <c r="L26" s="8">
        <v>276</v>
      </c>
    </row>
    <row r="27" spans="1:12" ht="15.75">
      <c r="A27" s="1" t="s">
        <v>21</v>
      </c>
      <c r="B27" s="8">
        <v>637</v>
      </c>
      <c r="C27" s="8">
        <v>667</v>
      </c>
      <c r="D27" s="8"/>
      <c r="E27" s="8">
        <v>8</v>
      </c>
      <c r="F27" s="8">
        <v>5</v>
      </c>
      <c r="G27" s="8"/>
      <c r="H27" s="8">
        <v>464.6666666666667</v>
      </c>
      <c r="I27" s="8">
        <v>437</v>
      </c>
      <c r="J27" s="8"/>
      <c r="K27" s="8">
        <v>164.33333333333334</v>
      </c>
      <c r="L27" s="8">
        <v>225</v>
      </c>
    </row>
    <row r="28" spans="1:12" ht="15.75">
      <c r="A28" s="1" t="s">
        <v>22</v>
      </c>
      <c r="B28" s="8">
        <v>623.6666666666666</v>
      </c>
      <c r="C28" s="8">
        <v>614</v>
      </c>
      <c r="D28" s="8"/>
      <c r="E28" s="8">
        <v>8.666666666666666</v>
      </c>
      <c r="F28" s="8">
        <v>6</v>
      </c>
      <c r="G28" s="8"/>
      <c r="H28" s="8">
        <v>437</v>
      </c>
      <c r="I28" s="8">
        <v>410</v>
      </c>
      <c r="J28" s="8"/>
      <c r="K28" s="8">
        <v>178</v>
      </c>
      <c r="L28" s="8">
        <v>198</v>
      </c>
    </row>
    <row r="29" spans="1:12" ht="15.75">
      <c r="A29" s="1" t="s">
        <v>23</v>
      </c>
      <c r="B29" s="8">
        <v>4177.666666666667</v>
      </c>
      <c r="C29" s="8">
        <v>4517</v>
      </c>
      <c r="D29" s="8"/>
      <c r="E29" s="8">
        <v>31.333333333333332</v>
      </c>
      <c r="F29" s="8">
        <v>22</v>
      </c>
      <c r="G29" s="8"/>
      <c r="H29" s="8">
        <v>2794.6666666666665</v>
      </c>
      <c r="I29" s="8">
        <v>2901</v>
      </c>
      <c r="J29" s="8"/>
      <c r="K29" s="8">
        <v>1351.6666666666667</v>
      </c>
      <c r="L29" s="8">
        <v>1594</v>
      </c>
    </row>
    <row r="30" spans="1:12" ht="15.75">
      <c r="A30" s="1" t="s">
        <v>24</v>
      </c>
      <c r="B30" s="8">
        <v>12129.666666666666</v>
      </c>
      <c r="C30" s="8">
        <v>12322</v>
      </c>
      <c r="D30" s="8"/>
      <c r="E30" s="8">
        <v>81</v>
      </c>
      <c r="F30" s="8">
        <v>95</v>
      </c>
      <c r="G30" s="8"/>
      <c r="H30" s="8">
        <v>8533.333333333334</v>
      </c>
      <c r="I30" s="8">
        <v>8546</v>
      </c>
      <c r="J30" s="8"/>
      <c r="K30" s="8">
        <v>3515.3333333333335</v>
      </c>
      <c r="L30" s="8">
        <v>3681</v>
      </c>
    </row>
    <row r="31" spans="1:12" ht="15.75">
      <c r="A31" s="1" t="s">
        <v>25</v>
      </c>
      <c r="B31" s="8">
        <v>573</v>
      </c>
      <c r="C31" s="8">
        <v>597</v>
      </c>
      <c r="D31" s="8"/>
      <c r="E31" s="8">
        <v>7.333333333333333</v>
      </c>
      <c r="F31" s="8">
        <v>11</v>
      </c>
      <c r="G31" s="8"/>
      <c r="H31" s="8">
        <v>340.6666666666667</v>
      </c>
      <c r="I31" s="8">
        <v>377</v>
      </c>
      <c r="J31" s="8"/>
      <c r="K31" s="8">
        <v>225</v>
      </c>
      <c r="L31" s="8">
        <v>209</v>
      </c>
    </row>
    <row r="32" spans="1:12" ht="15.75">
      <c r="A32" s="1" t="s">
        <v>26</v>
      </c>
      <c r="B32" s="8">
        <v>613.6666666666666</v>
      </c>
      <c r="C32" s="8">
        <v>588</v>
      </c>
      <c r="D32" s="8"/>
      <c r="E32" s="8">
        <v>7</v>
      </c>
      <c r="F32" s="8">
        <v>6</v>
      </c>
      <c r="G32" s="8"/>
      <c r="H32" s="8">
        <v>402</v>
      </c>
      <c r="I32" s="8">
        <v>356</v>
      </c>
      <c r="J32" s="8"/>
      <c r="K32" s="8">
        <v>204.66666666666666</v>
      </c>
      <c r="L32" s="8">
        <v>226</v>
      </c>
    </row>
    <row r="33" spans="1:12" ht="15.75">
      <c r="A33" s="1" t="s">
        <v>27</v>
      </c>
      <c r="B33" s="8">
        <v>710.3333333333334</v>
      </c>
      <c r="C33" s="8">
        <v>708</v>
      </c>
      <c r="D33" s="8"/>
      <c r="E33" s="8">
        <v>7</v>
      </c>
      <c r="F33" s="8">
        <v>8</v>
      </c>
      <c r="G33" s="8"/>
      <c r="H33" s="8">
        <v>500</v>
      </c>
      <c r="I33" s="8">
        <v>500</v>
      </c>
      <c r="J33" s="8"/>
      <c r="K33" s="8">
        <v>203.33333333333334</v>
      </c>
      <c r="L33" s="8">
        <v>200</v>
      </c>
    </row>
    <row r="34" spans="1:12" ht="15.75">
      <c r="A34" s="1" t="s">
        <v>28</v>
      </c>
      <c r="B34" s="8">
        <v>829.6666666666666</v>
      </c>
      <c r="C34" s="8">
        <v>885</v>
      </c>
      <c r="D34" s="8"/>
      <c r="E34" s="8">
        <v>9</v>
      </c>
      <c r="F34" s="8">
        <v>16</v>
      </c>
      <c r="G34" s="8"/>
      <c r="H34" s="8">
        <v>615.6666666666666</v>
      </c>
      <c r="I34" s="8">
        <v>599</v>
      </c>
      <c r="J34" s="8"/>
      <c r="K34" s="8">
        <v>205</v>
      </c>
      <c r="L34" s="8">
        <v>270</v>
      </c>
    </row>
    <row r="35" spans="1:12" ht="15.75">
      <c r="A35" s="1" t="s">
        <v>29</v>
      </c>
      <c r="B35" s="8">
        <v>664</v>
      </c>
      <c r="C35" s="8">
        <v>636</v>
      </c>
      <c r="D35" s="8"/>
      <c r="E35" s="8">
        <v>12.333333333333334</v>
      </c>
      <c r="F35" s="8">
        <v>7</v>
      </c>
      <c r="G35" s="8"/>
      <c r="H35" s="8">
        <v>433.3333333333333</v>
      </c>
      <c r="I35" s="8">
        <v>422</v>
      </c>
      <c r="J35" s="8"/>
      <c r="K35" s="8">
        <v>218.33333333333334</v>
      </c>
      <c r="L35" s="8">
        <v>207</v>
      </c>
    </row>
    <row r="36" spans="1:12" ht="15.75">
      <c r="A36" s="1" t="s">
        <v>30</v>
      </c>
      <c r="B36" s="8">
        <v>123.33333333333333</v>
      </c>
      <c r="C36" s="8">
        <v>123</v>
      </c>
      <c r="D36" s="8"/>
      <c r="E36" s="8">
        <v>1.5</v>
      </c>
      <c r="F36" s="7">
        <v>0</v>
      </c>
      <c r="G36" s="8"/>
      <c r="H36" s="8">
        <v>65.33333333333333</v>
      </c>
      <c r="I36" s="8">
        <v>66</v>
      </c>
      <c r="J36" s="8"/>
      <c r="K36" s="8">
        <v>57</v>
      </c>
      <c r="L36" s="8">
        <v>57</v>
      </c>
    </row>
    <row r="37" spans="1:12" ht="15.75">
      <c r="A37" s="1" t="s">
        <v>31</v>
      </c>
      <c r="B37" s="8">
        <v>680.6666666666666</v>
      </c>
      <c r="C37" s="8">
        <v>633</v>
      </c>
      <c r="D37" s="8"/>
      <c r="E37" s="8">
        <v>7.666666666666667</v>
      </c>
      <c r="F37" s="8">
        <v>6</v>
      </c>
      <c r="G37" s="8"/>
      <c r="H37" s="8">
        <v>489.3333333333333</v>
      </c>
      <c r="I37" s="8">
        <v>463</v>
      </c>
      <c r="J37" s="8"/>
      <c r="K37" s="8">
        <v>183.66666666666666</v>
      </c>
      <c r="L37" s="8">
        <v>164</v>
      </c>
    </row>
    <row r="38" spans="1:12" ht="15.75">
      <c r="A38" s="1" t="s">
        <v>32</v>
      </c>
      <c r="B38" s="8">
        <v>1189</v>
      </c>
      <c r="C38" s="8">
        <v>1323</v>
      </c>
      <c r="D38" s="8"/>
      <c r="E38" s="8">
        <v>12.333333333333334</v>
      </c>
      <c r="F38" s="8">
        <v>10</v>
      </c>
      <c r="G38" s="8"/>
      <c r="H38" s="8">
        <v>868.3333333333334</v>
      </c>
      <c r="I38" s="8">
        <v>921</v>
      </c>
      <c r="J38" s="8"/>
      <c r="K38" s="8">
        <v>308.3333333333333</v>
      </c>
      <c r="L38" s="8">
        <v>392</v>
      </c>
    </row>
    <row r="39" spans="1:12" ht="15.75">
      <c r="A39" s="1" t="s">
        <v>33</v>
      </c>
      <c r="B39" s="8">
        <v>278.3333333333333</v>
      </c>
      <c r="C39" s="8">
        <v>343</v>
      </c>
      <c r="D39" s="8"/>
      <c r="E39" s="8">
        <v>6</v>
      </c>
      <c r="F39" s="8">
        <v>5</v>
      </c>
      <c r="G39" s="8"/>
      <c r="H39" s="8">
        <v>185.66666666666666</v>
      </c>
      <c r="I39" s="8">
        <v>175</v>
      </c>
      <c r="J39" s="8"/>
      <c r="K39" s="8">
        <v>86.66666666666667</v>
      </c>
      <c r="L39" s="8">
        <v>163</v>
      </c>
    </row>
    <row r="40" spans="1:12" ht="15.75">
      <c r="A40" s="1" t="s">
        <v>34</v>
      </c>
      <c r="B40" s="8">
        <v>630.3333333333334</v>
      </c>
      <c r="C40" s="8">
        <v>723</v>
      </c>
      <c r="D40" s="8"/>
      <c r="E40" s="8">
        <v>11</v>
      </c>
      <c r="F40" s="8">
        <v>12</v>
      </c>
      <c r="G40" s="8"/>
      <c r="H40" s="8">
        <v>430.6666666666667</v>
      </c>
      <c r="I40" s="8">
        <v>466</v>
      </c>
      <c r="J40" s="8"/>
      <c r="K40" s="8">
        <v>188.66666666666666</v>
      </c>
      <c r="L40" s="8">
        <v>245</v>
      </c>
    </row>
    <row r="41" spans="1:12" ht="15.75">
      <c r="A41" s="1" t="s">
        <v>35</v>
      </c>
      <c r="B41" s="8">
        <v>826.3333333333334</v>
      </c>
      <c r="C41" s="8">
        <v>783</v>
      </c>
      <c r="D41" s="8"/>
      <c r="E41" s="8">
        <v>12.666666666666666</v>
      </c>
      <c r="F41" s="8">
        <v>10</v>
      </c>
      <c r="G41" s="8"/>
      <c r="H41" s="8">
        <v>584.6666666666666</v>
      </c>
      <c r="I41" s="8">
        <v>544</v>
      </c>
      <c r="J41" s="8"/>
      <c r="K41" s="8">
        <v>229</v>
      </c>
      <c r="L41" s="8">
        <v>229</v>
      </c>
    </row>
    <row r="42" spans="1:12" ht="15.75">
      <c r="A42" s="1" t="s">
        <v>36</v>
      </c>
      <c r="B42" s="8">
        <v>9672.333333333334</v>
      </c>
      <c r="C42" s="8">
        <v>10014</v>
      </c>
      <c r="D42" s="8"/>
      <c r="E42" s="8">
        <v>44.333333333333336</v>
      </c>
      <c r="F42" s="8">
        <v>43</v>
      </c>
      <c r="G42" s="8"/>
      <c r="H42" s="8">
        <v>6351.666666666667</v>
      </c>
      <c r="I42" s="8">
        <v>6582</v>
      </c>
      <c r="J42" s="8"/>
      <c r="K42" s="8">
        <v>3276.3333333333335</v>
      </c>
      <c r="L42" s="8">
        <v>3389</v>
      </c>
    </row>
    <row r="43" spans="1:12" ht="15.75">
      <c r="A43" s="1" t="s">
        <v>37</v>
      </c>
      <c r="B43" s="8">
        <v>710.6666666666666</v>
      </c>
      <c r="C43" s="8">
        <v>703</v>
      </c>
      <c r="D43" s="8"/>
      <c r="E43" s="8">
        <v>7.333333333333333</v>
      </c>
      <c r="F43" s="8">
        <v>4</v>
      </c>
      <c r="G43" s="8"/>
      <c r="H43" s="8">
        <v>471.3333333333333</v>
      </c>
      <c r="I43" s="8">
        <v>463</v>
      </c>
      <c r="J43" s="8"/>
      <c r="K43" s="8">
        <v>232</v>
      </c>
      <c r="L43" s="8">
        <v>236</v>
      </c>
    </row>
    <row r="44" spans="1:12" ht="15.75">
      <c r="A44" s="1" t="s">
        <v>38</v>
      </c>
      <c r="B44" s="8">
        <v>24985.333333333332</v>
      </c>
      <c r="C44" s="8">
        <v>23954</v>
      </c>
      <c r="D44" s="8"/>
      <c r="E44" s="8">
        <v>104</v>
      </c>
      <c r="F44" s="8">
        <v>75</v>
      </c>
      <c r="G44" s="8"/>
      <c r="H44" s="8">
        <v>17314.333333333332</v>
      </c>
      <c r="I44" s="8">
        <v>16887</v>
      </c>
      <c r="J44" s="8"/>
      <c r="K44" s="8">
        <v>7567</v>
      </c>
      <c r="L44" s="8">
        <v>6992</v>
      </c>
    </row>
    <row r="45" spans="1:12" ht="15.75">
      <c r="A45" s="1" t="s">
        <v>39</v>
      </c>
      <c r="B45" s="8">
        <v>2661.3333333333335</v>
      </c>
      <c r="C45" s="8">
        <v>2709</v>
      </c>
      <c r="D45" s="8"/>
      <c r="E45" s="8">
        <v>28</v>
      </c>
      <c r="F45" s="8">
        <v>18</v>
      </c>
      <c r="G45" s="8"/>
      <c r="H45" s="8">
        <v>2018.3333333333333</v>
      </c>
      <c r="I45" s="8">
        <v>2021</v>
      </c>
      <c r="J45" s="8"/>
      <c r="K45" s="8">
        <v>615</v>
      </c>
      <c r="L45" s="8">
        <v>670</v>
      </c>
    </row>
    <row r="46" spans="1:12" ht="15.75">
      <c r="A46" s="1" t="s">
        <v>40</v>
      </c>
      <c r="B46" s="8">
        <v>3350</v>
      </c>
      <c r="C46" s="8">
        <v>3143</v>
      </c>
      <c r="D46" s="8"/>
      <c r="E46" s="8">
        <v>24.666666666666668</v>
      </c>
      <c r="F46" s="8">
        <v>24</v>
      </c>
      <c r="G46" s="8"/>
      <c r="H46" s="8">
        <v>2459</v>
      </c>
      <c r="I46" s="8">
        <v>2314</v>
      </c>
      <c r="J46" s="8"/>
      <c r="K46" s="8">
        <v>866.3333333333334</v>
      </c>
      <c r="L46" s="8">
        <v>805</v>
      </c>
    </row>
    <row r="47" spans="1:12" ht="15.75">
      <c r="A47" s="1" t="s">
        <v>41</v>
      </c>
      <c r="B47" s="8">
        <v>6390.333333333333</v>
      </c>
      <c r="C47" s="8">
        <v>6263</v>
      </c>
      <c r="D47" s="8"/>
      <c r="E47" s="8">
        <v>32.666666666666664</v>
      </c>
      <c r="F47" s="8">
        <v>36</v>
      </c>
      <c r="G47" s="8"/>
      <c r="H47" s="8">
        <v>4792</v>
      </c>
      <c r="I47" s="8">
        <v>4532</v>
      </c>
      <c r="J47" s="8"/>
      <c r="K47" s="8">
        <v>1565.6666666666667</v>
      </c>
      <c r="L47" s="8">
        <v>1695</v>
      </c>
    </row>
    <row r="48" spans="1:12" ht="15.75">
      <c r="A48" s="1" t="s">
        <v>42</v>
      </c>
      <c r="B48" s="8">
        <v>1205.3333333333333</v>
      </c>
      <c r="C48" s="8">
        <v>1259</v>
      </c>
      <c r="D48" s="8"/>
      <c r="E48" s="8">
        <v>14.666666666666666</v>
      </c>
      <c r="F48" s="8">
        <v>18</v>
      </c>
      <c r="G48" s="8"/>
      <c r="H48" s="8">
        <v>840</v>
      </c>
      <c r="I48" s="8">
        <v>834</v>
      </c>
      <c r="J48" s="8"/>
      <c r="K48" s="8">
        <v>350.6666666666667</v>
      </c>
      <c r="L48" s="8">
        <v>407</v>
      </c>
    </row>
    <row r="49" spans="1:12" ht="15.75">
      <c r="A49" s="1" t="s">
        <v>43</v>
      </c>
      <c r="B49" s="8">
        <v>5415.666666666667</v>
      </c>
      <c r="C49" s="8">
        <v>5408</v>
      </c>
      <c r="D49" s="8"/>
      <c r="E49" s="8">
        <v>40</v>
      </c>
      <c r="F49" s="8">
        <v>37</v>
      </c>
      <c r="G49" s="8"/>
      <c r="H49" s="8">
        <v>3730.3333333333335</v>
      </c>
      <c r="I49" s="8">
        <v>3677</v>
      </c>
      <c r="J49" s="8"/>
      <c r="K49" s="8">
        <v>1645.3333333333333</v>
      </c>
      <c r="L49" s="8">
        <v>1694</v>
      </c>
    </row>
    <row r="50" spans="1:12" ht="15.75">
      <c r="A50" s="1" t="s">
        <v>44</v>
      </c>
      <c r="B50" s="8">
        <v>400</v>
      </c>
      <c r="C50" s="8">
        <v>416</v>
      </c>
      <c r="D50" s="8"/>
      <c r="E50" s="8">
        <v>6.333333333333333</v>
      </c>
      <c r="F50" s="8">
        <v>10</v>
      </c>
      <c r="G50" s="8"/>
      <c r="H50" s="8">
        <v>295.3333333333333</v>
      </c>
      <c r="I50" s="8">
        <v>293</v>
      </c>
      <c r="J50" s="8"/>
      <c r="K50" s="8">
        <v>98.33333333333333</v>
      </c>
      <c r="L50" s="8">
        <v>113</v>
      </c>
    </row>
    <row r="51" spans="1:12" ht="15.75">
      <c r="A51" s="1" t="s">
        <v>45</v>
      </c>
      <c r="B51" s="8">
        <v>1608.6666666666667</v>
      </c>
      <c r="C51" s="8">
        <v>1650</v>
      </c>
      <c r="D51" s="8"/>
      <c r="E51" s="8">
        <v>24</v>
      </c>
      <c r="F51" s="8">
        <v>23</v>
      </c>
      <c r="G51" s="8"/>
      <c r="H51" s="8">
        <v>1213.6666666666667</v>
      </c>
      <c r="I51" s="8">
        <v>1178</v>
      </c>
      <c r="J51" s="8"/>
      <c r="K51" s="8">
        <v>371</v>
      </c>
      <c r="L51" s="8">
        <v>449</v>
      </c>
    </row>
    <row r="52" spans="1:12" ht="15.75">
      <c r="A52" s="1" t="s">
        <v>46</v>
      </c>
      <c r="B52" s="8">
        <v>797.6666666666666</v>
      </c>
      <c r="C52" s="8">
        <v>762</v>
      </c>
      <c r="D52" s="8"/>
      <c r="E52" s="8">
        <v>8</v>
      </c>
      <c r="F52" s="8">
        <v>7</v>
      </c>
      <c r="G52" s="8"/>
      <c r="H52" s="8">
        <v>508.3333333333333</v>
      </c>
      <c r="I52" s="8">
        <v>523</v>
      </c>
      <c r="J52" s="8"/>
      <c r="K52" s="8">
        <v>281.3333333333333</v>
      </c>
      <c r="L52" s="8">
        <v>232</v>
      </c>
    </row>
    <row r="53" spans="1:12" ht="15.75">
      <c r="A53" s="1" t="s">
        <v>47</v>
      </c>
      <c r="B53" s="8">
        <v>1639.3333333333333</v>
      </c>
      <c r="C53" s="8">
        <v>1690</v>
      </c>
      <c r="D53" s="8"/>
      <c r="E53" s="8">
        <v>13.666666666666666</v>
      </c>
      <c r="F53" s="8">
        <v>16</v>
      </c>
      <c r="G53" s="8"/>
      <c r="H53" s="8">
        <v>1027</v>
      </c>
      <c r="I53" s="8">
        <v>1031</v>
      </c>
      <c r="J53" s="8"/>
      <c r="K53" s="8">
        <v>598.6666666666666</v>
      </c>
      <c r="L53" s="8">
        <v>643</v>
      </c>
    </row>
    <row r="54" spans="1:12" ht="15.75">
      <c r="A54" s="1" t="s">
        <v>48</v>
      </c>
      <c r="B54" s="8">
        <v>1880.6666666666667</v>
      </c>
      <c r="C54" s="8">
        <v>1910</v>
      </c>
      <c r="D54" s="8"/>
      <c r="E54" s="8">
        <v>14.666666666666666</v>
      </c>
      <c r="F54" s="8">
        <v>18</v>
      </c>
      <c r="G54" s="8"/>
      <c r="H54" s="8">
        <v>1326.3333333333333</v>
      </c>
      <c r="I54" s="8">
        <v>1282</v>
      </c>
      <c r="J54" s="8"/>
      <c r="K54" s="8">
        <v>539.6666666666666</v>
      </c>
      <c r="L54" s="8">
        <v>610</v>
      </c>
    </row>
    <row r="55" spans="1:12" ht="15.75">
      <c r="A55" s="1" t="s">
        <v>49</v>
      </c>
      <c r="B55" s="8">
        <v>4777.333333333333</v>
      </c>
      <c r="C55" s="8">
        <v>4943</v>
      </c>
      <c r="D55" s="8"/>
      <c r="E55" s="8">
        <v>21.333333333333332</v>
      </c>
      <c r="F55" s="8">
        <v>14</v>
      </c>
      <c r="G55" s="8"/>
      <c r="H55" s="8">
        <v>3206.6666666666665</v>
      </c>
      <c r="I55" s="8">
        <v>3212</v>
      </c>
      <c r="J55" s="8"/>
      <c r="K55" s="8">
        <v>1549.3333333333333</v>
      </c>
      <c r="L55" s="8">
        <v>1717</v>
      </c>
    </row>
    <row r="56" spans="1:12" ht="15.75">
      <c r="A56" s="1" t="s">
        <v>50</v>
      </c>
      <c r="B56" s="8">
        <v>1082.3333333333333</v>
      </c>
      <c r="C56" s="8">
        <v>1190</v>
      </c>
      <c r="D56" s="8"/>
      <c r="E56" s="8">
        <v>17</v>
      </c>
      <c r="F56" s="8">
        <v>16</v>
      </c>
      <c r="G56" s="8"/>
      <c r="H56" s="8">
        <v>768</v>
      </c>
      <c r="I56" s="8">
        <v>783</v>
      </c>
      <c r="J56" s="8"/>
      <c r="K56" s="8">
        <v>297.3333333333333</v>
      </c>
      <c r="L56" s="8">
        <v>391</v>
      </c>
    </row>
    <row r="57" spans="1:12" ht="15.75">
      <c r="A57" s="1" t="s">
        <v>51</v>
      </c>
      <c r="B57" s="8">
        <v>2143</v>
      </c>
      <c r="C57" s="8">
        <v>2215</v>
      </c>
      <c r="D57" s="8"/>
      <c r="E57" s="8">
        <v>20.666666666666668</v>
      </c>
      <c r="F57" s="8">
        <v>21</v>
      </c>
      <c r="G57" s="8"/>
      <c r="H57" s="8">
        <v>1480.6666666666667</v>
      </c>
      <c r="I57" s="8">
        <v>1517</v>
      </c>
      <c r="J57" s="8"/>
      <c r="K57" s="8">
        <v>641.6666666666666</v>
      </c>
      <c r="L57" s="8">
        <v>677</v>
      </c>
    </row>
    <row r="58" spans="1:12" ht="15.75">
      <c r="A58" s="1" t="s">
        <v>52</v>
      </c>
      <c r="B58" s="8">
        <v>1985.6666666666667</v>
      </c>
      <c r="C58" s="8">
        <v>1917</v>
      </c>
      <c r="D58" s="8"/>
      <c r="E58" s="8">
        <v>8.666666666666666</v>
      </c>
      <c r="F58" s="8">
        <v>6</v>
      </c>
      <c r="G58" s="8"/>
      <c r="H58" s="8">
        <v>1395.3333333333333</v>
      </c>
      <c r="I58" s="8">
        <v>1357</v>
      </c>
      <c r="J58" s="8"/>
      <c r="K58" s="8">
        <v>581.6666666666666</v>
      </c>
      <c r="L58" s="8">
        <v>554</v>
      </c>
    </row>
    <row r="59" spans="1:12" ht="15.75">
      <c r="A59" s="1" t="s">
        <v>53</v>
      </c>
      <c r="B59" s="8">
        <v>393</v>
      </c>
      <c r="C59" s="8">
        <v>357</v>
      </c>
      <c r="D59" s="8"/>
      <c r="E59" s="8">
        <v>5</v>
      </c>
      <c r="F59" s="8">
        <v>7</v>
      </c>
      <c r="G59" s="8"/>
      <c r="H59" s="8">
        <v>275.6666666666667</v>
      </c>
      <c r="I59" s="8">
        <v>229</v>
      </c>
      <c r="J59" s="8"/>
      <c r="K59" s="8">
        <v>112.33333333333333</v>
      </c>
      <c r="L59" s="8">
        <v>121</v>
      </c>
    </row>
    <row r="60" spans="1:12" ht="15.75">
      <c r="A60" s="1" t="s">
        <v>54</v>
      </c>
      <c r="B60" s="8">
        <v>180.33333333333334</v>
      </c>
      <c r="C60" s="8">
        <v>184</v>
      </c>
      <c r="D60" s="8"/>
      <c r="E60" s="8">
        <v>2</v>
      </c>
      <c r="F60" s="8">
        <v>3</v>
      </c>
      <c r="G60" s="8"/>
      <c r="H60" s="8">
        <v>124</v>
      </c>
      <c r="I60" s="8">
        <v>127</v>
      </c>
      <c r="J60" s="8"/>
      <c r="K60" s="8">
        <v>54.333333333333336</v>
      </c>
      <c r="L60" s="8">
        <v>54</v>
      </c>
    </row>
    <row r="61" spans="1:12" ht="15.75">
      <c r="A61" s="1" t="s">
        <v>55</v>
      </c>
      <c r="B61" s="8">
        <v>386.6666666666667</v>
      </c>
      <c r="C61" s="8">
        <v>412</v>
      </c>
      <c r="D61" s="8"/>
      <c r="E61" s="8">
        <v>5</v>
      </c>
      <c r="F61" s="8">
        <v>6</v>
      </c>
      <c r="G61" s="8"/>
      <c r="H61" s="8">
        <v>288.3333333333333</v>
      </c>
      <c r="I61" s="8">
        <v>291</v>
      </c>
      <c r="J61" s="8"/>
      <c r="K61" s="8">
        <v>93.33333333333333</v>
      </c>
      <c r="L61" s="8">
        <v>115</v>
      </c>
    </row>
    <row r="62" spans="1:12" ht="15.75">
      <c r="A62" s="1" t="s">
        <v>56</v>
      </c>
      <c r="B62" s="8">
        <v>988.3333333333334</v>
      </c>
      <c r="C62" s="8">
        <v>1004</v>
      </c>
      <c r="D62" s="8"/>
      <c r="E62" s="8">
        <v>12.333333333333334</v>
      </c>
      <c r="F62" s="8">
        <v>18</v>
      </c>
      <c r="G62" s="8"/>
      <c r="H62" s="8">
        <v>740</v>
      </c>
      <c r="I62" s="8">
        <v>711</v>
      </c>
      <c r="J62" s="8"/>
      <c r="K62" s="8">
        <v>236</v>
      </c>
      <c r="L62" s="8">
        <v>275</v>
      </c>
    </row>
    <row r="63" spans="1:12" ht="15.75">
      <c r="A63" s="1" t="s">
        <v>57</v>
      </c>
      <c r="B63" s="8">
        <v>22779.333333333332</v>
      </c>
      <c r="C63" s="8">
        <v>21752</v>
      </c>
      <c r="D63" s="8"/>
      <c r="E63" s="8">
        <v>164.33333333333334</v>
      </c>
      <c r="F63" s="8">
        <v>153</v>
      </c>
      <c r="G63" s="8"/>
      <c r="H63" s="8">
        <v>16135.333333333334</v>
      </c>
      <c r="I63" s="8">
        <v>15616</v>
      </c>
      <c r="J63" s="8"/>
      <c r="K63" s="8">
        <v>6479.666666666667</v>
      </c>
      <c r="L63" s="8">
        <v>5983</v>
      </c>
    </row>
    <row r="64" spans="1:12" ht="15.75">
      <c r="A64" s="1" t="s">
        <v>58</v>
      </c>
      <c r="B64" s="8">
        <v>1167</v>
      </c>
      <c r="C64" s="8">
        <v>1157</v>
      </c>
      <c r="D64" s="8"/>
      <c r="E64" s="8">
        <v>8.666666666666666</v>
      </c>
      <c r="F64" s="8">
        <v>10</v>
      </c>
      <c r="G64" s="8"/>
      <c r="H64" s="8">
        <v>826.3333333333334</v>
      </c>
      <c r="I64" s="8">
        <v>786</v>
      </c>
      <c r="J64" s="8"/>
      <c r="K64" s="8">
        <v>332</v>
      </c>
      <c r="L64" s="8">
        <v>361</v>
      </c>
    </row>
    <row r="65" spans="1:12" ht="15.75">
      <c r="A65" s="1" t="s">
        <v>59</v>
      </c>
      <c r="B65" s="8">
        <v>482</v>
      </c>
      <c r="C65" s="8">
        <v>478</v>
      </c>
      <c r="D65" s="8"/>
      <c r="E65" s="8">
        <v>6.333333333333333</v>
      </c>
      <c r="F65" s="8">
        <v>9</v>
      </c>
      <c r="G65" s="8"/>
      <c r="H65" s="8">
        <v>349</v>
      </c>
      <c r="I65" s="8">
        <v>329</v>
      </c>
      <c r="J65" s="8"/>
      <c r="K65" s="8">
        <v>126.66666666666667</v>
      </c>
      <c r="L65" s="8">
        <v>140</v>
      </c>
    </row>
    <row r="66" spans="1:12" ht="15.75">
      <c r="A66" s="1" t="s">
        <v>60</v>
      </c>
      <c r="B66" s="8">
        <v>1151.3333333333333</v>
      </c>
      <c r="C66" s="8">
        <v>1209</v>
      </c>
      <c r="D66" s="8"/>
      <c r="E66" s="8">
        <v>11.333333333333334</v>
      </c>
      <c r="F66" s="8">
        <v>13</v>
      </c>
      <c r="G66" s="8"/>
      <c r="H66" s="8">
        <v>757</v>
      </c>
      <c r="I66" s="8">
        <v>713</v>
      </c>
      <c r="J66" s="8"/>
      <c r="K66" s="8">
        <v>383</v>
      </c>
      <c r="L66" s="8">
        <v>483</v>
      </c>
    </row>
    <row r="67" spans="1:12" ht="15.75">
      <c r="A67" s="1" t="s">
        <v>61</v>
      </c>
      <c r="B67" s="8">
        <v>2751</v>
      </c>
      <c r="C67" s="8">
        <v>2691</v>
      </c>
      <c r="D67" s="8"/>
      <c r="E67" s="8">
        <v>23.333333333333332</v>
      </c>
      <c r="F67" s="8">
        <v>19</v>
      </c>
      <c r="G67" s="8"/>
      <c r="H67" s="8">
        <v>1893.3333333333333</v>
      </c>
      <c r="I67" s="8">
        <v>1885</v>
      </c>
      <c r="J67" s="8"/>
      <c r="K67" s="8">
        <v>834.3333333333334</v>
      </c>
      <c r="L67" s="8">
        <v>787</v>
      </c>
    </row>
    <row r="68" spans="1:12" ht="15.75">
      <c r="A68" s="1" t="s">
        <v>62</v>
      </c>
      <c r="B68" s="8">
        <v>1044.3333333333333</v>
      </c>
      <c r="C68" s="8">
        <v>1051</v>
      </c>
      <c r="D68" s="8"/>
      <c r="E68" s="8">
        <v>9.333333333333334</v>
      </c>
      <c r="F68" s="8">
        <v>13</v>
      </c>
      <c r="G68" s="8"/>
      <c r="H68" s="8">
        <v>755.6666666666666</v>
      </c>
      <c r="I68" s="8">
        <v>730</v>
      </c>
      <c r="J68" s="8"/>
      <c r="K68" s="8">
        <v>279.3333333333333</v>
      </c>
      <c r="L68" s="8">
        <v>308</v>
      </c>
    </row>
    <row r="69" spans="1:12" ht="15.75">
      <c r="A69" s="1" t="s">
        <v>63</v>
      </c>
      <c r="B69" s="8">
        <v>673.3333333333334</v>
      </c>
      <c r="C69" s="8">
        <v>658</v>
      </c>
      <c r="D69" s="8"/>
      <c r="E69" s="8">
        <v>10</v>
      </c>
      <c r="F69" s="8">
        <v>3</v>
      </c>
      <c r="G69" s="8"/>
      <c r="H69" s="8">
        <v>486.3333333333333</v>
      </c>
      <c r="I69" s="8">
        <v>473</v>
      </c>
      <c r="J69" s="8"/>
      <c r="K69" s="8">
        <v>177</v>
      </c>
      <c r="L69" s="8">
        <v>182</v>
      </c>
    </row>
    <row r="70" spans="1:12" ht="15.75">
      <c r="A70" s="1" t="s">
        <v>64</v>
      </c>
      <c r="B70" s="8">
        <v>988</v>
      </c>
      <c r="C70" s="8">
        <v>1026</v>
      </c>
      <c r="D70" s="8"/>
      <c r="E70" s="8">
        <v>16.666666666666668</v>
      </c>
      <c r="F70" s="8">
        <v>13</v>
      </c>
      <c r="G70" s="8"/>
      <c r="H70" s="8">
        <v>735.3333333333334</v>
      </c>
      <c r="I70" s="8">
        <v>718</v>
      </c>
      <c r="J70" s="8"/>
      <c r="K70" s="8">
        <v>236</v>
      </c>
      <c r="L70" s="8">
        <v>295</v>
      </c>
    </row>
    <row r="71" spans="1:12" ht="15.75">
      <c r="A71" s="1" t="s">
        <v>65</v>
      </c>
      <c r="B71" s="8">
        <v>13750</v>
      </c>
      <c r="C71" s="8">
        <v>14002</v>
      </c>
      <c r="D71" s="8"/>
      <c r="E71" s="8">
        <v>58.333333333333336</v>
      </c>
      <c r="F71" s="8">
        <v>63</v>
      </c>
      <c r="G71" s="8"/>
      <c r="H71" s="8">
        <v>8769.333333333334</v>
      </c>
      <c r="I71" s="8">
        <v>8829</v>
      </c>
      <c r="J71" s="8"/>
      <c r="K71" s="8">
        <v>4922.333333333333</v>
      </c>
      <c r="L71" s="8">
        <v>5110</v>
      </c>
    </row>
    <row r="72" spans="1:12" ht="15.75">
      <c r="A72" s="1" t="s">
        <v>66</v>
      </c>
      <c r="B72" s="8">
        <v>463.3333333333333</v>
      </c>
      <c r="C72" s="8">
        <v>435</v>
      </c>
      <c r="D72" s="8"/>
      <c r="E72" s="8">
        <v>8</v>
      </c>
      <c r="F72" s="8">
        <v>6</v>
      </c>
      <c r="G72" s="8"/>
      <c r="H72" s="8">
        <v>332.3333333333333</v>
      </c>
      <c r="I72" s="8">
        <v>284</v>
      </c>
      <c r="J72" s="8"/>
      <c r="K72" s="8">
        <v>123</v>
      </c>
      <c r="L72" s="8">
        <v>145</v>
      </c>
    </row>
    <row r="73" spans="1:12" ht="15.75">
      <c r="A73" s="1" t="s">
        <v>67</v>
      </c>
      <c r="B73" s="8">
        <v>195</v>
      </c>
      <c r="C73" s="8">
        <v>196</v>
      </c>
      <c r="D73" s="8"/>
      <c r="E73" s="8">
        <v>3</v>
      </c>
      <c r="F73" s="8">
        <v>5</v>
      </c>
      <c r="G73" s="8"/>
      <c r="H73" s="8">
        <v>142.66666666666666</v>
      </c>
      <c r="I73" s="8">
        <v>137</v>
      </c>
      <c r="J73" s="8"/>
      <c r="K73" s="8">
        <v>50.333333333333336</v>
      </c>
      <c r="L73" s="8">
        <v>54</v>
      </c>
    </row>
    <row r="74" spans="1:12" ht="15.75">
      <c r="A74" s="3"/>
      <c r="B74" s="14"/>
      <c r="C74" s="14"/>
      <c r="D74" s="14"/>
      <c r="E74" s="14"/>
      <c r="F74" s="14"/>
      <c r="G74" s="14"/>
      <c r="H74" s="14"/>
      <c r="I74" s="14"/>
      <c r="J74" s="14"/>
      <c r="K74" s="14"/>
      <c r="L74" s="14"/>
    </row>
    <row r="75" spans="1:12" ht="48" customHeight="1">
      <c r="A75" s="31" t="s">
        <v>94</v>
      </c>
      <c r="B75" s="31"/>
      <c r="C75" s="31"/>
      <c r="D75" s="31"/>
      <c r="E75" s="31"/>
      <c r="F75" s="31"/>
      <c r="G75" s="31"/>
      <c r="H75" s="31"/>
      <c r="I75" s="31"/>
      <c r="J75" s="31"/>
      <c r="K75" s="31"/>
      <c r="L75" s="31"/>
    </row>
    <row r="76" spans="1:12" ht="15.75">
      <c r="A76" s="21"/>
      <c r="B76" s="22"/>
      <c r="C76" s="22"/>
      <c r="D76" s="22"/>
      <c r="E76" s="22"/>
      <c r="F76" s="22"/>
      <c r="G76" s="22"/>
      <c r="H76" s="22"/>
      <c r="I76" s="22"/>
      <c r="J76" s="22"/>
      <c r="K76" s="22"/>
      <c r="L76" s="22"/>
    </row>
    <row r="77" spans="1:12" ht="33" customHeight="1">
      <c r="A77" s="31" t="s">
        <v>107</v>
      </c>
      <c r="B77" s="31"/>
      <c r="C77" s="31"/>
      <c r="D77" s="31"/>
      <c r="E77" s="31"/>
      <c r="F77" s="31"/>
      <c r="G77" s="31"/>
      <c r="H77" s="31"/>
      <c r="I77" s="31"/>
      <c r="J77" s="31"/>
      <c r="K77" s="31"/>
      <c r="L77" s="31"/>
    </row>
    <row r="78" spans="1:12" ht="15.75">
      <c r="A78" s="1"/>
      <c r="B78" s="1"/>
      <c r="C78" s="1"/>
      <c r="D78" s="1"/>
      <c r="E78" s="1"/>
      <c r="F78" s="1"/>
      <c r="G78" s="1"/>
      <c r="H78" s="1"/>
      <c r="I78" s="1"/>
      <c r="J78" s="1"/>
      <c r="K78" s="1"/>
      <c r="L78" s="1"/>
    </row>
    <row r="79" spans="1:12" ht="15.75">
      <c r="A79" s="1" t="s">
        <v>68</v>
      </c>
      <c r="B79" s="1"/>
      <c r="C79" s="1"/>
      <c r="D79" s="1"/>
      <c r="E79" s="1"/>
      <c r="F79" s="1"/>
      <c r="G79" s="1"/>
      <c r="H79" s="1"/>
      <c r="I79" s="1"/>
      <c r="J79" s="1"/>
      <c r="K79" s="1"/>
      <c r="L79" s="1"/>
    </row>
    <row r="80" spans="1:12" ht="15.75">
      <c r="A80" s="1"/>
      <c r="B80" s="8"/>
      <c r="C80" s="8"/>
      <c r="D80" s="8"/>
      <c r="E80" s="8"/>
      <c r="F80" s="8"/>
      <c r="G80" s="8"/>
      <c r="H80" s="8"/>
      <c r="I80" s="8"/>
      <c r="J80" s="8"/>
      <c r="K80" s="8"/>
      <c r="L80" s="8"/>
    </row>
    <row r="81" spans="1:12" ht="15.75">
      <c r="A81" s="1"/>
      <c r="B81" s="8"/>
      <c r="C81" s="8"/>
      <c r="D81" s="8"/>
      <c r="E81" s="8"/>
      <c r="F81" s="8"/>
      <c r="G81" s="8"/>
      <c r="H81" s="8"/>
      <c r="I81" s="8"/>
      <c r="J81" s="8"/>
      <c r="K81" s="8"/>
      <c r="L81" s="8"/>
    </row>
    <row r="82" spans="1:12" ht="15.75">
      <c r="A82" s="1"/>
      <c r="B82" s="8"/>
      <c r="C82" s="8"/>
      <c r="D82" s="8"/>
      <c r="E82" s="8"/>
      <c r="F82" s="8"/>
      <c r="G82" s="8"/>
      <c r="H82" s="8"/>
      <c r="I82" s="8"/>
      <c r="J82" s="8"/>
      <c r="K82" s="8"/>
      <c r="L82" s="8"/>
    </row>
    <row r="83" spans="1:12" ht="15.75">
      <c r="A83" s="1"/>
      <c r="B83" s="8"/>
      <c r="C83" s="8"/>
      <c r="D83" s="8"/>
      <c r="E83" s="8"/>
      <c r="F83" s="8"/>
      <c r="G83" s="8"/>
      <c r="H83" s="8"/>
      <c r="I83" s="8"/>
      <c r="J83" s="8"/>
      <c r="K83" s="8"/>
      <c r="L83" s="8"/>
    </row>
    <row r="84" spans="1:12" ht="15.75">
      <c r="A84" s="1"/>
      <c r="B84" s="8"/>
      <c r="C84" s="8"/>
      <c r="D84" s="8"/>
      <c r="E84" s="8"/>
      <c r="F84" s="8"/>
      <c r="G84" s="8"/>
      <c r="H84" s="8"/>
      <c r="I84" s="8"/>
      <c r="J84" s="8"/>
      <c r="K84" s="8"/>
      <c r="L84" s="8"/>
    </row>
    <row r="85" spans="1:12" ht="15.75">
      <c r="A85" s="1"/>
      <c r="B85" s="8"/>
      <c r="C85" s="8"/>
      <c r="D85" s="8"/>
      <c r="E85" s="8"/>
      <c r="F85" s="8"/>
      <c r="G85" s="8"/>
      <c r="H85" s="8"/>
      <c r="I85" s="8"/>
      <c r="J85" s="8"/>
      <c r="K85" s="8"/>
      <c r="L85" s="8"/>
    </row>
    <row r="86" spans="1:12" ht="15.75">
      <c r="A86" s="1"/>
      <c r="B86" s="1"/>
      <c r="C86" s="1"/>
      <c r="D86" s="1"/>
      <c r="E86" s="1"/>
      <c r="F86" s="1"/>
      <c r="G86" s="1"/>
      <c r="H86" s="1"/>
      <c r="I86" s="1"/>
      <c r="J86" s="1"/>
      <c r="K86" s="1"/>
      <c r="L86" s="1"/>
    </row>
    <row r="87" spans="1:12" ht="15.75">
      <c r="A87" s="1"/>
      <c r="B87" s="1"/>
      <c r="C87" s="1"/>
      <c r="D87" s="1"/>
      <c r="E87" s="1"/>
      <c r="F87" s="1"/>
      <c r="G87" s="1"/>
      <c r="H87" s="1"/>
      <c r="I87" s="1"/>
      <c r="J87" s="1"/>
      <c r="K87" s="1"/>
      <c r="L87" s="1"/>
    </row>
    <row r="88" spans="1:12" ht="15.75">
      <c r="A88" s="1"/>
      <c r="B88" s="1"/>
      <c r="C88" s="1"/>
      <c r="D88" s="1"/>
      <c r="E88" s="1"/>
      <c r="F88" s="1"/>
      <c r="G88" s="1"/>
      <c r="H88" s="1"/>
      <c r="I88" s="1"/>
      <c r="J88" s="1"/>
      <c r="K88" s="1"/>
      <c r="L88" s="1"/>
    </row>
    <row r="89" spans="1:12" ht="15.75">
      <c r="A89" s="1"/>
      <c r="B89" s="1"/>
      <c r="C89" s="1"/>
      <c r="D89" s="1"/>
      <c r="E89" s="1"/>
      <c r="F89" s="1"/>
      <c r="G89" s="1"/>
      <c r="H89" s="1"/>
      <c r="I89" s="1"/>
      <c r="J89" s="1"/>
      <c r="K89" s="1"/>
      <c r="L89" s="1"/>
    </row>
    <row r="90" spans="1:12" ht="15.75">
      <c r="A90" s="1"/>
      <c r="B90" s="1"/>
      <c r="C90" s="1"/>
      <c r="D90" s="1"/>
      <c r="E90" s="1"/>
      <c r="F90" s="1"/>
      <c r="G90" s="1"/>
      <c r="H90" s="1"/>
      <c r="I90" s="1"/>
      <c r="J90" s="1"/>
      <c r="K90" s="1"/>
      <c r="L90" s="1"/>
    </row>
    <row r="91" spans="1:12" ht="15.75">
      <c r="A91" s="1"/>
      <c r="B91" s="1"/>
      <c r="C91" s="1"/>
      <c r="D91" s="1"/>
      <c r="E91" s="1"/>
      <c r="F91" s="1"/>
      <c r="G91" s="1"/>
      <c r="H91" s="1"/>
      <c r="I91" s="1"/>
      <c r="J91" s="1"/>
      <c r="K91" s="1"/>
      <c r="L91" s="1"/>
    </row>
    <row r="92" spans="1:12" ht="15.75">
      <c r="A92" s="1"/>
      <c r="B92" s="1"/>
      <c r="C92" s="1"/>
      <c r="D92" s="1"/>
      <c r="E92" s="1"/>
      <c r="F92" s="1"/>
      <c r="G92" s="1"/>
      <c r="H92" s="1"/>
      <c r="I92" s="1"/>
      <c r="J92" s="1"/>
      <c r="K92" s="1"/>
      <c r="L92" s="1"/>
    </row>
  </sheetData>
  <sheetProtection/>
  <mergeCells count="6">
    <mergeCell ref="B4:C4"/>
    <mergeCell ref="E4:F4"/>
    <mergeCell ref="H4:I4"/>
    <mergeCell ref="K4:L4"/>
    <mergeCell ref="A75:L75"/>
    <mergeCell ref="A77:L7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zoomScalePageLayoutView="0" workbookViewId="0" topLeftCell="A1">
      <selection activeCell="A1" sqref="A1"/>
    </sheetView>
  </sheetViews>
  <sheetFormatPr defaultColWidth="8.88671875" defaultRowHeight="15.75"/>
  <cols>
    <col min="1" max="1" width="25.6640625" style="0" customWidth="1"/>
    <col min="2" max="3" width="10.6640625" style="0" customWidth="1"/>
    <col min="4" max="4" width="2.6640625" style="0" customWidth="1"/>
    <col min="5" max="6" width="10.6640625" style="0" customWidth="1"/>
    <col min="7" max="7" width="2.6640625" style="0" customWidth="1"/>
    <col min="8" max="9" width="10.6640625" style="0" customWidth="1"/>
    <col min="10" max="10" width="2.6640625" style="0" customWidth="1"/>
    <col min="11" max="12" width="10.6640625" style="0" customWidth="1"/>
  </cols>
  <sheetData>
    <row r="1" spans="1:12" ht="20.25">
      <c r="A1" s="12" t="s">
        <v>0</v>
      </c>
      <c r="B1" s="1"/>
      <c r="C1" s="2"/>
      <c r="D1" s="1"/>
      <c r="E1" s="1"/>
      <c r="F1" s="1"/>
      <c r="G1" s="1"/>
      <c r="H1" s="1"/>
      <c r="I1" s="1"/>
      <c r="J1" s="1"/>
      <c r="K1" s="1"/>
      <c r="L1" s="1"/>
    </row>
    <row r="2" spans="1:12" ht="20.25">
      <c r="A2" s="12" t="s">
        <v>81</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74</v>
      </c>
      <c r="C4" s="30"/>
      <c r="D4" s="3"/>
      <c r="E4" s="30" t="s">
        <v>69</v>
      </c>
      <c r="F4" s="30"/>
      <c r="G4" s="3"/>
      <c r="H4" s="30" t="s">
        <v>70</v>
      </c>
      <c r="I4" s="30"/>
      <c r="J4" s="3"/>
      <c r="K4" s="30" t="s">
        <v>75</v>
      </c>
      <c r="L4" s="30"/>
    </row>
    <row r="5" spans="1:12" ht="29.25">
      <c r="A5" s="4" t="s">
        <v>1</v>
      </c>
      <c r="B5" s="17" t="s">
        <v>82</v>
      </c>
      <c r="C5" s="5">
        <v>2011</v>
      </c>
      <c r="D5" s="4"/>
      <c r="E5" s="17" t="s">
        <v>82</v>
      </c>
      <c r="F5" s="5">
        <v>2011</v>
      </c>
      <c r="G5" s="4"/>
      <c r="H5" s="17" t="s">
        <v>82</v>
      </c>
      <c r="I5" s="5">
        <v>2011</v>
      </c>
      <c r="J5" s="4"/>
      <c r="K5" s="17" t="s">
        <v>82</v>
      </c>
      <c r="L5" s="5">
        <v>2011</v>
      </c>
    </row>
    <row r="6" spans="1:12" ht="15.75">
      <c r="A6" s="1"/>
      <c r="B6" s="1"/>
      <c r="C6" s="2"/>
      <c r="D6" s="1"/>
      <c r="E6" s="1"/>
      <c r="F6" s="1"/>
      <c r="G6" s="1"/>
      <c r="H6" s="6"/>
      <c r="I6" s="1"/>
      <c r="J6" s="1"/>
      <c r="K6" s="1"/>
      <c r="L6" s="1"/>
    </row>
    <row r="7" spans="1:12" ht="15.75">
      <c r="A7" s="18" t="s">
        <v>2</v>
      </c>
      <c r="B7" s="19">
        <v>315527.3333333334</v>
      </c>
      <c r="C7" s="19">
        <v>307550</v>
      </c>
      <c r="D7" s="20" t="s">
        <v>3</v>
      </c>
      <c r="E7" s="19">
        <v>1113.0000000000005</v>
      </c>
      <c r="F7" s="20">
        <v>1077</v>
      </c>
      <c r="G7" s="20"/>
      <c r="H7" s="19">
        <v>134310.99999999997</v>
      </c>
      <c r="I7" s="20">
        <v>128036</v>
      </c>
      <c r="J7" s="20"/>
      <c r="K7" s="19">
        <v>180103.3333333333</v>
      </c>
      <c r="L7" s="20">
        <v>178437</v>
      </c>
    </row>
    <row r="8" spans="1:12" ht="15.75">
      <c r="A8" s="18"/>
      <c r="B8" s="20"/>
      <c r="C8" s="19"/>
      <c r="D8" s="20"/>
      <c r="E8" s="20"/>
      <c r="F8" s="20"/>
      <c r="G8" s="20" t="s">
        <v>3</v>
      </c>
      <c r="H8" s="20"/>
      <c r="I8" s="20"/>
      <c r="J8" s="20" t="s">
        <v>3</v>
      </c>
      <c r="K8" s="20"/>
      <c r="L8" s="20"/>
    </row>
    <row r="9" spans="1:12" ht="15.75">
      <c r="A9" s="18" t="s">
        <v>4</v>
      </c>
      <c r="B9" s="19">
        <v>76789.33333333334</v>
      </c>
      <c r="C9" s="19">
        <v>73060</v>
      </c>
      <c r="D9" s="20" t="s">
        <v>3</v>
      </c>
      <c r="E9" s="19">
        <v>265</v>
      </c>
      <c r="F9" s="20">
        <v>250</v>
      </c>
      <c r="G9" s="20"/>
      <c r="H9" s="19">
        <v>52063.00000000001</v>
      </c>
      <c r="I9" s="20">
        <v>49634</v>
      </c>
      <c r="J9" s="20"/>
      <c r="K9" s="19">
        <v>24461.333333333336</v>
      </c>
      <c r="L9" s="20">
        <v>23176</v>
      </c>
    </row>
    <row r="10" spans="1:12" ht="15.75">
      <c r="A10" s="18" t="s">
        <v>5</v>
      </c>
      <c r="B10" s="20">
        <v>12286</v>
      </c>
      <c r="C10" s="19">
        <v>10305</v>
      </c>
      <c r="D10" s="20"/>
      <c r="E10" s="20">
        <v>43.666666666666664</v>
      </c>
      <c r="F10" s="20">
        <v>48</v>
      </c>
      <c r="G10" s="20"/>
      <c r="H10" s="20">
        <v>8718.666666666666</v>
      </c>
      <c r="I10" s="20">
        <v>7248</v>
      </c>
      <c r="J10" s="20"/>
      <c r="K10" s="20">
        <v>3523.6666666666665</v>
      </c>
      <c r="L10" s="20">
        <v>3009</v>
      </c>
    </row>
    <row r="11" spans="1:12" ht="15.75">
      <c r="A11" s="18" t="s">
        <v>6</v>
      </c>
      <c r="B11" s="20">
        <v>23431.666666666668</v>
      </c>
      <c r="C11" s="19">
        <v>21990</v>
      </c>
      <c r="D11" s="20"/>
      <c r="E11" s="20">
        <v>77.33333333333333</v>
      </c>
      <c r="F11" s="20">
        <v>78</v>
      </c>
      <c r="G11" s="20"/>
      <c r="H11" s="20">
        <v>16760.666666666668</v>
      </c>
      <c r="I11" s="20">
        <v>16095</v>
      </c>
      <c r="J11" s="20"/>
      <c r="K11" s="20">
        <v>6593.666666666667</v>
      </c>
      <c r="L11" s="20">
        <v>5817</v>
      </c>
    </row>
    <row r="12" spans="1:12" ht="15.75">
      <c r="A12" s="18" t="s">
        <v>7</v>
      </c>
      <c r="B12" s="20">
        <v>13469</v>
      </c>
      <c r="C12" s="19">
        <v>14176</v>
      </c>
      <c r="D12" s="20"/>
      <c r="E12" s="20">
        <v>48.333333333333336</v>
      </c>
      <c r="F12" s="20">
        <v>45</v>
      </c>
      <c r="G12" s="20"/>
      <c r="H12" s="20">
        <v>8820.333333333334</v>
      </c>
      <c r="I12" s="20">
        <v>9298</v>
      </c>
      <c r="J12" s="20"/>
      <c r="K12" s="20">
        <v>4600.333333333333</v>
      </c>
      <c r="L12" s="20">
        <v>4833</v>
      </c>
    </row>
    <row r="13" spans="1:12" ht="15.75">
      <c r="A13" s="18" t="s">
        <v>8</v>
      </c>
      <c r="B13" s="20">
        <v>22862.666666666668</v>
      </c>
      <c r="C13" s="19">
        <v>21530</v>
      </c>
      <c r="D13" s="20"/>
      <c r="E13" s="20">
        <v>76.33333333333333</v>
      </c>
      <c r="F13" s="20">
        <v>67</v>
      </c>
      <c r="G13" s="20"/>
      <c r="H13" s="20">
        <v>14991.333333333334</v>
      </c>
      <c r="I13" s="20">
        <v>13991</v>
      </c>
      <c r="J13" s="20"/>
      <c r="K13" s="20">
        <v>7795</v>
      </c>
      <c r="L13" s="20">
        <v>7472</v>
      </c>
    </row>
    <row r="14" spans="1:12" ht="15.75">
      <c r="A14" s="18" t="s">
        <v>9</v>
      </c>
      <c r="B14" s="20">
        <v>4740</v>
      </c>
      <c r="C14" s="19">
        <v>5059</v>
      </c>
      <c r="D14" s="20"/>
      <c r="E14" s="20">
        <v>19.333333333333332</v>
      </c>
      <c r="F14" s="20">
        <v>12</v>
      </c>
      <c r="G14" s="20"/>
      <c r="H14" s="20">
        <v>2772</v>
      </c>
      <c r="I14" s="20">
        <v>3002</v>
      </c>
      <c r="J14" s="20"/>
      <c r="K14" s="20">
        <v>1948.6666666666667</v>
      </c>
      <c r="L14" s="20">
        <v>2045</v>
      </c>
    </row>
    <row r="15" spans="1:12" ht="15.75">
      <c r="A15" s="18"/>
      <c r="B15" s="20"/>
      <c r="C15" s="19"/>
      <c r="D15" s="20"/>
      <c r="E15" s="20"/>
      <c r="F15" s="20"/>
      <c r="G15" s="20"/>
      <c r="H15" s="20"/>
      <c r="I15" s="20"/>
      <c r="J15" s="20"/>
      <c r="K15" s="20"/>
      <c r="L15" s="20"/>
    </row>
    <row r="16" spans="1:12" ht="15.75">
      <c r="A16" s="18" t="s">
        <v>10</v>
      </c>
      <c r="B16" s="19">
        <v>238738</v>
      </c>
      <c r="C16" s="19">
        <v>234490</v>
      </c>
      <c r="D16" s="20"/>
      <c r="E16" s="19">
        <v>848.0000000000003</v>
      </c>
      <c r="F16" s="19">
        <v>827</v>
      </c>
      <c r="G16" s="20"/>
      <c r="H16" s="19">
        <v>82247.99999999997</v>
      </c>
      <c r="I16" s="19">
        <v>78402</v>
      </c>
      <c r="J16" s="20"/>
      <c r="K16" s="19">
        <v>155641.99999999997</v>
      </c>
      <c r="L16" s="19">
        <v>155261</v>
      </c>
    </row>
    <row r="17" spans="1:12" ht="15.75">
      <c r="A17" s="18" t="s">
        <v>11</v>
      </c>
      <c r="B17" s="20">
        <v>8092.333333333333</v>
      </c>
      <c r="C17" s="19">
        <v>7889</v>
      </c>
      <c r="D17" s="20"/>
      <c r="E17" s="20">
        <v>16.666666666666668</v>
      </c>
      <c r="F17" s="20">
        <v>19</v>
      </c>
      <c r="G17" s="20"/>
      <c r="H17" s="20">
        <v>2509</v>
      </c>
      <c r="I17" s="20">
        <v>2468</v>
      </c>
      <c r="J17" s="20"/>
      <c r="K17" s="20">
        <v>5566.666666666667</v>
      </c>
      <c r="L17" s="20">
        <v>5402</v>
      </c>
    </row>
    <row r="18" spans="1:12" ht="15.75">
      <c r="A18" s="18" t="s">
        <v>12</v>
      </c>
      <c r="B18" s="20">
        <v>955</v>
      </c>
      <c r="C18" s="19">
        <v>876</v>
      </c>
      <c r="D18" s="20"/>
      <c r="E18" s="20">
        <v>5.333333333333333</v>
      </c>
      <c r="F18" s="20">
        <v>2</v>
      </c>
      <c r="G18" s="20"/>
      <c r="H18" s="20">
        <v>259.6666666666667</v>
      </c>
      <c r="I18" s="20">
        <v>241</v>
      </c>
      <c r="J18" s="20"/>
      <c r="K18" s="20">
        <v>690</v>
      </c>
      <c r="L18" s="20">
        <v>633</v>
      </c>
    </row>
    <row r="19" spans="1:12" ht="15.75">
      <c r="A19" s="18" t="s">
        <v>13</v>
      </c>
      <c r="B19" s="20">
        <v>4055.6666666666665</v>
      </c>
      <c r="C19" s="19">
        <v>4196</v>
      </c>
      <c r="D19" s="20"/>
      <c r="E19" s="20">
        <v>8.666666666666666</v>
      </c>
      <c r="F19" s="20">
        <v>17</v>
      </c>
      <c r="G19" s="20"/>
      <c r="H19" s="20">
        <v>1268</v>
      </c>
      <c r="I19" s="20">
        <v>1264</v>
      </c>
      <c r="J19" s="20"/>
      <c r="K19" s="20">
        <v>2779</v>
      </c>
      <c r="L19" s="20">
        <v>2915</v>
      </c>
    </row>
    <row r="20" spans="1:12" ht="15.75">
      <c r="A20" s="18" t="s">
        <v>14</v>
      </c>
      <c r="B20" s="20">
        <v>1701.6666666666667</v>
      </c>
      <c r="C20" s="19">
        <v>1621</v>
      </c>
      <c r="D20" s="20"/>
      <c r="E20" s="20">
        <v>10.333333333333334</v>
      </c>
      <c r="F20" s="20">
        <v>12</v>
      </c>
      <c r="G20" s="20"/>
      <c r="H20" s="20">
        <v>487.6666666666667</v>
      </c>
      <c r="I20" s="20">
        <v>414</v>
      </c>
      <c r="J20" s="20"/>
      <c r="K20" s="20">
        <v>1203.6666666666667</v>
      </c>
      <c r="L20" s="20">
        <v>1195</v>
      </c>
    </row>
    <row r="21" spans="1:12" ht="15.75">
      <c r="A21" s="18" t="s">
        <v>15</v>
      </c>
      <c r="B21" s="20">
        <v>1756.6666666666667</v>
      </c>
      <c r="C21" s="19">
        <v>1626</v>
      </c>
      <c r="D21" s="20"/>
      <c r="E21" s="20">
        <v>12</v>
      </c>
      <c r="F21" s="20">
        <v>6</v>
      </c>
      <c r="G21" s="20"/>
      <c r="H21" s="20">
        <v>523.6666666666666</v>
      </c>
      <c r="I21" s="20">
        <v>482</v>
      </c>
      <c r="J21" s="20"/>
      <c r="K21" s="20">
        <v>1221</v>
      </c>
      <c r="L21" s="20">
        <v>1138</v>
      </c>
    </row>
    <row r="22" spans="1:12" ht="15.75">
      <c r="A22" s="18" t="s">
        <v>16</v>
      </c>
      <c r="B22" s="20">
        <v>2763.6666666666665</v>
      </c>
      <c r="C22" s="19">
        <v>2651</v>
      </c>
      <c r="D22" s="20"/>
      <c r="E22" s="20">
        <v>11.666666666666666</v>
      </c>
      <c r="F22" s="20">
        <v>14</v>
      </c>
      <c r="G22" s="20"/>
      <c r="H22" s="20">
        <v>777</v>
      </c>
      <c r="I22" s="20">
        <v>772</v>
      </c>
      <c r="J22" s="20"/>
      <c r="K22" s="20">
        <v>1975</v>
      </c>
      <c r="L22" s="20">
        <v>1865</v>
      </c>
    </row>
    <row r="23" spans="1:12" ht="15.75">
      <c r="A23" s="18" t="s">
        <v>17</v>
      </c>
      <c r="B23" s="20">
        <v>1627</v>
      </c>
      <c r="C23" s="19">
        <v>1659</v>
      </c>
      <c r="D23" s="20"/>
      <c r="E23" s="20">
        <v>5.666666666666667</v>
      </c>
      <c r="F23" s="20">
        <v>14</v>
      </c>
      <c r="G23" s="20"/>
      <c r="H23" s="20">
        <v>490.6666666666667</v>
      </c>
      <c r="I23" s="20">
        <v>466</v>
      </c>
      <c r="J23" s="20"/>
      <c r="K23" s="20">
        <v>1130.6666666666667</v>
      </c>
      <c r="L23" s="20">
        <v>1179</v>
      </c>
    </row>
    <row r="24" spans="1:12" ht="15.75">
      <c r="A24" s="18" t="s">
        <v>18</v>
      </c>
      <c r="B24" s="20">
        <v>1178.6666666666667</v>
      </c>
      <c r="C24" s="19">
        <v>1094</v>
      </c>
      <c r="D24" s="20"/>
      <c r="E24" s="20">
        <v>8</v>
      </c>
      <c r="F24" s="20">
        <v>6</v>
      </c>
      <c r="G24" s="20"/>
      <c r="H24" s="20">
        <v>298.3333333333333</v>
      </c>
      <c r="I24" s="20">
        <v>286</v>
      </c>
      <c r="J24" s="20"/>
      <c r="K24" s="20">
        <v>872.3333333333334</v>
      </c>
      <c r="L24" s="20">
        <v>802</v>
      </c>
    </row>
    <row r="25" spans="1:12" ht="15.75">
      <c r="A25" s="18" t="s">
        <v>19</v>
      </c>
      <c r="B25" s="20">
        <v>1698.6666666666667</v>
      </c>
      <c r="C25" s="19">
        <v>1732</v>
      </c>
      <c r="D25" s="20"/>
      <c r="E25" s="20">
        <v>8</v>
      </c>
      <c r="F25" s="20">
        <v>6</v>
      </c>
      <c r="G25" s="20"/>
      <c r="H25" s="20">
        <v>419</v>
      </c>
      <c r="I25" s="20">
        <v>421</v>
      </c>
      <c r="J25" s="20"/>
      <c r="K25" s="20">
        <v>1271.6666666666667</v>
      </c>
      <c r="L25" s="20">
        <v>1305</v>
      </c>
    </row>
    <row r="26" spans="1:12" ht="15.75">
      <c r="A26" s="18" t="s">
        <v>20</v>
      </c>
      <c r="B26" s="20">
        <v>1403</v>
      </c>
      <c r="C26" s="19">
        <v>1325</v>
      </c>
      <c r="D26" s="20"/>
      <c r="E26" s="20">
        <v>10</v>
      </c>
      <c r="F26" s="20">
        <v>2</v>
      </c>
      <c r="G26" s="20"/>
      <c r="H26" s="20">
        <v>414.6666666666667</v>
      </c>
      <c r="I26" s="20">
        <v>359</v>
      </c>
      <c r="J26" s="20"/>
      <c r="K26" s="20">
        <v>978.3333333333334</v>
      </c>
      <c r="L26" s="20">
        <v>964</v>
      </c>
    </row>
    <row r="27" spans="1:12" ht="15.75">
      <c r="A27" s="18" t="s">
        <v>21</v>
      </c>
      <c r="B27" s="20">
        <v>1259.3333333333333</v>
      </c>
      <c r="C27" s="19">
        <v>1138</v>
      </c>
      <c r="D27" s="20"/>
      <c r="E27" s="20">
        <v>2.6666666666666665</v>
      </c>
      <c r="F27" s="20">
        <v>1</v>
      </c>
      <c r="G27" s="20"/>
      <c r="H27" s="20">
        <v>314.6666666666667</v>
      </c>
      <c r="I27" s="20">
        <v>280</v>
      </c>
      <c r="J27" s="20"/>
      <c r="K27" s="20">
        <v>942</v>
      </c>
      <c r="L27" s="20">
        <v>857</v>
      </c>
    </row>
    <row r="28" spans="1:12" ht="15.75">
      <c r="A28" s="18" t="s">
        <v>22</v>
      </c>
      <c r="B28" s="20">
        <v>1148.6666666666667</v>
      </c>
      <c r="C28" s="19">
        <v>1083</v>
      </c>
      <c r="D28" s="20"/>
      <c r="E28" s="20">
        <v>6</v>
      </c>
      <c r="F28" s="20">
        <v>6</v>
      </c>
      <c r="G28" s="20"/>
      <c r="H28" s="20">
        <v>319</v>
      </c>
      <c r="I28" s="20">
        <v>254</v>
      </c>
      <c r="J28" s="20"/>
      <c r="K28" s="20">
        <v>823.6666666666666</v>
      </c>
      <c r="L28" s="20">
        <v>823</v>
      </c>
    </row>
    <row r="29" spans="1:12" ht="15.75">
      <c r="A29" s="18" t="s">
        <v>23</v>
      </c>
      <c r="B29" s="20">
        <v>6586</v>
      </c>
      <c r="C29" s="19">
        <v>5985</v>
      </c>
      <c r="D29" s="20"/>
      <c r="E29" s="20">
        <v>16.666666666666668</v>
      </c>
      <c r="F29" s="20">
        <v>27</v>
      </c>
      <c r="G29" s="20"/>
      <c r="H29" s="20">
        <v>2104.6666666666665</v>
      </c>
      <c r="I29" s="20">
        <v>1936</v>
      </c>
      <c r="J29" s="20"/>
      <c r="K29" s="20">
        <v>4464.666666666667</v>
      </c>
      <c r="L29" s="20">
        <v>4022</v>
      </c>
    </row>
    <row r="30" spans="1:12" ht="15.75">
      <c r="A30" s="18" t="s">
        <v>24</v>
      </c>
      <c r="B30" s="20">
        <v>16844.333333333332</v>
      </c>
      <c r="C30" s="19">
        <v>16928</v>
      </c>
      <c r="D30" s="20"/>
      <c r="E30" s="20">
        <v>55</v>
      </c>
      <c r="F30" s="20">
        <v>44</v>
      </c>
      <c r="G30" s="20"/>
      <c r="H30" s="20">
        <v>7099</v>
      </c>
      <c r="I30" s="20">
        <v>6781</v>
      </c>
      <c r="J30" s="20"/>
      <c r="K30" s="20">
        <v>9690.333333333334</v>
      </c>
      <c r="L30" s="20">
        <v>10103</v>
      </c>
    </row>
    <row r="31" spans="1:12" ht="15.75">
      <c r="A31" s="18" t="s">
        <v>25</v>
      </c>
      <c r="B31" s="20">
        <v>1021.3333333333334</v>
      </c>
      <c r="C31" s="19">
        <v>1023</v>
      </c>
      <c r="D31" s="20"/>
      <c r="E31" s="20">
        <v>3.3333333333333335</v>
      </c>
      <c r="F31" s="20">
        <v>6</v>
      </c>
      <c r="G31" s="20"/>
      <c r="H31" s="20">
        <v>255.66666666666666</v>
      </c>
      <c r="I31" s="20">
        <v>230</v>
      </c>
      <c r="J31" s="20"/>
      <c r="K31" s="20">
        <v>762.3333333333334</v>
      </c>
      <c r="L31" s="20">
        <v>787</v>
      </c>
    </row>
    <row r="32" spans="1:12" ht="15.75">
      <c r="A32" s="18" t="s">
        <v>26</v>
      </c>
      <c r="B32" s="20">
        <v>1129.3333333333333</v>
      </c>
      <c r="C32" s="19">
        <v>1107</v>
      </c>
      <c r="D32" s="20"/>
      <c r="E32" s="20">
        <v>6.666666666666667</v>
      </c>
      <c r="F32" s="20">
        <v>6</v>
      </c>
      <c r="G32" s="20"/>
      <c r="H32" s="20">
        <v>298.3333333333333</v>
      </c>
      <c r="I32" s="20">
        <v>295</v>
      </c>
      <c r="J32" s="20"/>
      <c r="K32" s="20">
        <v>824.3333333333334</v>
      </c>
      <c r="L32" s="20">
        <v>806</v>
      </c>
    </row>
    <row r="33" spans="1:12" ht="15.75">
      <c r="A33" s="18" t="s">
        <v>27</v>
      </c>
      <c r="B33" s="20">
        <v>1032.3333333333333</v>
      </c>
      <c r="C33" s="19">
        <v>898</v>
      </c>
      <c r="D33" s="20"/>
      <c r="E33" s="20">
        <v>4.666666666666667</v>
      </c>
      <c r="F33" s="20">
        <v>9</v>
      </c>
      <c r="G33" s="20"/>
      <c r="H33" s="20">
        <v>364</v>
      </c>
      <c r="I33" s="20">
        <v>319</v>
      </c>
      <c r="J33" s="20"/>
      <c r="K33" s="20">
        <v>663.6666666666666</v>
      </c>
      <c r="L33" s="20">
        <v>570</v>
      </c>
    </row>
    <row r="34" spans="1:12" ht="15.75">
      <c r="A34" s="18" t="s">
        <v>28</v>
      </c>
      <c r="B34" s="20">
        <v>2056.3333333333335</v>
      </c>
      <c r="C34" s="19">
        <v>1860</v>
      </c>
      <c r="D34" s="20"/>
      <c r="E34" s="20">
        <v>7.666666666666667</v>
      </c>
      <c r="F34" s="20">
        <v>8</v>
      </c>
      <c r="G34" s="20"/>
      <c r="H34" s="20">
        <v>502.3333333333333</v>
      </c>
      <c r="I34" s="20">
        <v>402</v>
      </c>
      <c r="J34" s="20"/>
      <c r="K34" s="20">
        <v>1546.3333333333333</v>
      </c>
      <c r="L34" s="20">
        <v>1450</v>
      </c>
    </row>
    <row r="35" spans="1:12" ht="15.75">
      <c r="A35" s="18" t="s">
        <v>29</v>
      </c>
      <c r="B35" s="20">
        <v>1272.6666666666667</v>
      </c>
      <c r="C35" s="19">
        <v>1216</v>
      </c>
      <c r="D35" s="20"/>
      <c r="E35" s="20">
        <v>8</v>
      </c>
      <c r="F35" s="20">
        <v>6</v>
      </c>
      <c r="G35" s="20"/>
      <c r="H35" s="20">
        <v>355.3333333333333</v>
      </c>
      <c r="I35" s="20">
        <v>308</v>
      </c>
      <c r="J35" s="20"/>
      <c r="K35" s="20">
        <v>909.3333333333334</v>
      </c>
      <c r="L35" s="20">
        <v>902</v>
      </c>
    </row>
    <row r="36" spans="1:12" ht="15.75">
      <c r="A36" s="18" t="s">
        <v>30</v>
      </c>
      <c r="B36" s="20">
        <v>182</v>
      </c>
      <c r="C36" s="19">
        <v>205</v>
      </c>
      <c r="D36" s="20"/>
      <c r="E36" s="20">
        <v>0.6666666666666666</v>
      </c>
      <c r="F36" s="19">
        <v>1</v>
      </c>
      <c r="G36" s="20"/>
      <c r="H36" s="20">
        <v>34.333333333333336</v>
      </c>
      <c r="I36" s="20">
        <v>45</v>
      </c>
      <c r="J36" s="20"/>
      <c r="K36" s="20">
        <v>147</v>
      </c>
      <c r="L36" s="20">
        <v>159</v>
      </c>
    </row>
    <row r="37" spans="1:12" ht="15.75">
      <c r="A37" s="18" t="s">
        <v>31</v>
      </c>
      <c r="B37" s="20">
        <v>1138.6666666666667</v>
      </c>
      <c r="C37" s="19">
        <v>1138</v>
      </c>
      <c r="D37" s="20"/>
      <c r="E37" s="20">
        <v>7.333333333333333</v>
      </c>
      <c r="F37" s="20">
        <v>6</v>
      </c>
      <c r="G37" s="20"/>
      <c r="H37" s="20">
        <v>314</v>
      </c>
      <c r="I37" s="20">
        <v>323</v>
      </c>
      <c r="J37" s="20"/>
      <c r="K37" s="20">
        <v>817.3333333333334</v>
      </c>
      <c r="L37" s="20">
        <v>809</v>
      </c>
    </row>
    <row r="38" spans="1:12" ht="15.75">
      <c r="A38" s="18" t="s">
        <v>32</v>
      </c>
      <c r="B38" s="20">
        <v>2332</v>
      </c>
      <c r="C38" s="19">
        <v>2162</v>
      </c>
      <c r="D38" s="20"/>
      <c r="E38" s="20">
        <v>11.666666666666666</v>
      </c>
      <c r="F38" s="20">
        <v>13</v>
      </c>
      <c r="G38" s="20"/>
      <c r="H38" s="20">
        <v>716</v>
      </c>
      <c r="I38" s="20">
        <v>672</v>
      </c>
      <c r="J38" s="20"/>
      <c r="K38" s="20">
        <v>1604.3333333333333</v>
      </c>
      <c r="L38" s="20">
        <v>1477</v>
      </c>
    </row>
    <row r="39" spans="1:12" ht="15.75">
      <c r="A39" s="18" t="s">
        <v>33</v>
      </c>
      <c r="B39" s="20">
        <v>553.3333333333334</v>
      </c>
      <c r="C39" s="19">
        <v>495</v>
      </c>
      <c r="D39" s="20"/>
      <c r="E39" s="20">
        <v>3.3333333333333335</v>
      </c>
      <c r="F39" s="20">
        <v>2</v>
      </c>
      <c r="G39" s="20"/>
      <c r="H39" s="20">
        <v>131.66666666666666</v>
      </c>
      <c r="I39" s="20">
        <v>115</v>
      </c>
      <c r="J39" s="20"/>
      <c r="K39" s="20">
        <v>418.3333333333333</v>
      </c>
      <c r="L39" s="20">
        <v>378</v>
      </c>
    </row>
    <row r="40" spans="1:12" ht="15.75">
      <c r="A40" s="18" t="s">
        <v>34</v>
      </c>
      <c r="B40" s="20">
        <v>1553.3333333333333</v>
      </c>
      <c r="C40" s="19">
        <v>1506</v>
      </c>
      <c r="D40" s="20"/>
      <c r="E40" s="20">
        <v>10.333333333333334</v>
      </c>
      <c r="F40" s="20">
        <v>7</v>
      </c>
      <c r="G40" s="20"/>
      <c r="H40" s="20">
        <v>362</v>
      </c>
      <c r="I40" s="20">
        <v>329</v>
      </c>
      <c r="J40" s="20"/>
      <c r="K40" s="20">
        <v>1181</v>
      </c>
      <c r="L40" s="20">
        <v>1170</v>
      </c>
    </row>
    <row r="41" spans="1:12" ht="15.75">
      <c r="A41" s="18" t="s">
        <v>35</v>
      </c>
      <c r="B41" s="20">
        <v>1519.3333333333333</v>
      </c>
      <c r="C41" s="19">
        <v>1452</v>
      </c>
      <c r="D41" s="20"/>
      <c r="E41" s="20">
        <v>10</v>
      </c>
      <c r="F41" s="20">
        <v>6</v>
      </c>
      <c r="G41" s="20"/>
      <c r="H41" s="20">
        <v>388.6666666666667</v>
      </c>
      <c r="I41" s="20">
        <v>342</v>
      </c>
      <c r="J41" s="20"/>
      <c r="K41" s="20">
        <v>1120.6666666666667</v>
      </c>
      <c r="L41" s="20">
        <v>1104</v>
      </c>
    </row>
    <row r="42" spans="1:12" ht="15.75">
      <c r="A42" s="18" t="s">
        <v>36</v>
      </c>
      <c r="B42" s="20">
        <v>15169.333333333334</v>
      </c>
      <c r="C42" s="19">
        <v>14626</v>
      </c>
      <c r="D42" s="20"/>
      <c r="E42" s="20">
        <v>33</v>
      </c>
      <c r="F42" s="20">
        <v>42</v>
      </c>
      <c r="G42" s="20"/>
      <c r="H42" s="20">
        <v>5153.333333333333</v>
      </c>
      <c r="I42" s="20">
        <v>4841</v>
      </c>
      <c r="J42" s="20"/>
      <c r="K42" s="20">
        <v>9983</v>
      </c>
      <c r="L42" s="20">
        <v>9743</v>
      </c>
    </row>
    <row r="43" spans="1:12" ht="15.75">
      <c r="A43" s="18" t="s">
        <v>37</v>
      </c>
      <c r="B43" s="20">
        <v>1175</v>
      </c>
      <c r="C43" s="19">
        <v>1093</v>
      </c>
      <c r="D43" s="20"/>
      <c r="E43" s="20">
        <v>4.333333333333333</v>
      </c>
      <c r="F43" s="20">
        <v>10</v>
      </c>
      <c r="G43" s="20"/>
      <c r="H43" s="20">
        <v>314</v>
      </c>
      <c r="I43" s="20">
        <v>275</v>
      </c>
      <c r="J43" s="20"/>
      <c r="K43" s="20">
        <v>856.6666666666666</v>
      </c>
      <c r="L43" s="20">
        <v>808</v>
      </c>
    </row>
    <row r="44" spans="1:12" ht="15.75">
      <c r="A44" s="18" t="s">
        <v>38</v>
      </c>
      <c r="B44" s="20">
        <v>32783</v>
      </c>
      <c r="C44" s="19">
        <v>33927</v>
      </c>
      <c r="D44" s="20"/>
      <c r="E44" s="20">
        <v>91.33333333333333</v>
      </c>
      <c r="F44" s="20">
        <v>87</v>
      </c>
      <c r="G44" s="20"/>
      <c r="H44" s="20">
        <v>13073</v>
      </c>
      <c r="I44" s="20">
        <v>12941</v>
      </c>
      <c r="J44" s="20"/>
      <c r="K44" s="20">
        <v>19618.666666666668</v>
      </c>
      <c r="L44" s="20">
        <v>20899</v>
      </c>
    </row>
    <row r="45" spans="1:12" ht="15.75">
      <c r="A45" s="18" t="s">
        <v>39</v>
      </c>
      <c r="B45" s="20">
        <v>3698.3333333333335</v>
      </c>
      <c r="C45" s="19">
        <v>3624</v>
      </c>
      <c r="D45" s="20"/>
      <c r="E45" s="20">
        <v>17</v>
      </c>
      <c r="F45" s="20">
        <v>16</v>
      </c>
      <c r="G45" s="20"/>
      <c r="H45" s="20">
        <v>1343</v>
      </c>
      <c r="I45" s="20">
        <v>1255</v>
      </c>
      <c r="J45" s="20"/>
      <c r="K45" s="20">
        <v>2338.3333333333335</v>
      </c>
      <c r="L45" s="20">
        <v>2353</v>
      </c>
    </row>
    <row r="46" spans="1:12" ht="15.75">
      <c r="A46" s="18" t="s">
        <v>40</v>
      </c>
      <c r="B46" s="20">
        <v>4736.333333333333</v>
      </c>
      <c r="C46" s="19">
        <v>4437</v>
      </c>
      <c r="D46" s="20"/>
      <c r="E46" s="20">
        <v>18.666666666666668</v>
      </c>
      <c r="F46" s="20">
        <v>12</v>
      </c>
      <c r="G46" s="20"/>
      <c r="H46" s="20">
        <v>1448.3333333333333</v>
      </c>
      <c r="I46" s="20">
        <v>1355</v>
      </c>
      <c r="J46" s="20"/>
      <c r="K46" s="20">
        <v>3269.3333333333335</v>
      </c>
      <c r="L46" s="20">
        <v>3070</v>
      </c>
    </row>
    <row r="47" spans="1:12" ht="15.75">
      <c r="A47" s="18" t="s">
        <v>41</v>
      </c>
      <c r="B47" s="20">
        <v>10217</v>
      </c>
      <c r="C47" s="19">
        <v>9953</v>
      </c>
      <c r="D47" s="20"/>
      <c r="E47" s="20">
        <v>32</v>
      </c>
      <c r="F47" s="20">
        <v>26</v>
      </c>
      <c r="G47" s="20"/>
      <c r="H47" s="20">
        <v>3319.6666666666665</v>
      </c>
      <c r="I47" s="20">
        <v>3156</v>
      </c>
      <c r="J47" s="20"/>
      <c r="K47" s="20">
        <v>6865.333333333333</v>
      </c>
      <c r="L47" s="20">
        <v>6771</v>
      </c>
    </row>
    <row r="48" spans="1:12" ht="15.75">
      <c r="A48" s="18" t="s">
        <v>42</v>
      </c>
      <c r="B48" s="20">
        <v>2465</v>
      </c>
      <c r="C48" s="19">
        <v>2524</v>
      </c>
      <c r="D48" s="20"/>
      <c r="E48" s="20">
        <v>8</v>
      </c>
      <c r="F48" s="20">
        <v>13</v>
      </c>
      <c r="G48" s="20"/>
      <c r="H48" s="20">
        <v>714</v>
      </c>
      <c r="I48" s="20">
        <v>695</v>
      </c>
      <c r="J48" s="20"/>
      <c r="K48" s="20">
        <v>1743</v>
      </c>
      <c r="L48" s="20">
        <v>1816</v>
      </c>
    </row>
    <row r="49" spans="1:12" ht="15.75">
      <c r="A49" s="18" t="s">
        <v>43</v>
      </c>
      <c r="B49" s="20">
        <v>10112.333333333334</v>
      </c>
      <c r="C49" s="19">
        <v>9898</v>
      </c>
      <c r="D49" s="20"/>
      <c r="E49" s="20">
        <v>36.666666666666664</v>
      </c>
      <c r="F49" s="20">
        <v>32</v>
      </c>
      <c r="G49" s="20"/>
      <c r="H49" s="20">
        <v>3118.3333333333335</v>
      </c>
      <c r="I49" s="20">
        <v>2857</v>
      </c>
      <c r="J49" s="20"/>
      <c r="K49" s="20">
        <v>6957.333333333333</v>
      </c>
      <c r="L49" s="20">
        <v>7009</v>
      </c>
    </row>
    <row r="50" spans="1:12" ht="15.75">
      <c r="A50" s="18" t="s">
        <v>44</v>
      </c>
      <c r="B50" s="20">
        <v>820.3333333333334</v>
      </c>
      <c r="C50" s="19">
        <v>718</v>
      </c>
      <c r="D50" s="20"/>
      <c r="E50" s="20">
        <v>5.333333333333333</v>
      </c>
      <c r="F50" s="20">
        <v>5</v>
      </c>
      <c r="G50" s="20"/>
      <c r="H50" s="20">
        <v>219.66666666666666</v>
      </c>
      <c r="I50" s="20">
        <v>191</v>
      </c>
      <c r="J50" s="20"/>
      <c r="K50" s="20">
        <v>595.3333333333334</v>
      </c>
      <c r="L50" s="20">
        <v>522</v>
      </c>
    </row>
    <row r="51" spans="1:12" ht="15.75">
      <c r="A51" s="18" t="s">
        <v>45</v>
      </c>
      <c r="B51" s="20">
        <v>2111.3333333333335</v>
      </c>
      <c r="C51" s="19">
        <v>2013</v>
      </c>
      <c r="D51" s="20"/>
      <c r="E51" s="20">
        <v>11.666666666666666</v>
      </c>
      <c r="F51" s="20">
        <v>10</v>
      </c>
      <c r="G51" s="20"/>
      <c r="H51" s="20">
        <v>624.6666666666666</v>
      </c>
      <c r="I51" s="20">
        <v>651</v>
      </c>
      <c r="J51" s="20"/>
      <c r="K51" s="20">
        <v>1475</v>
      </c>
      <c r="L51" s="20">
        <v>1352</v>
      </c>
    </row>
    <row r="52" spans="1:12" ht="15.75">
      <c r="A52" s="18" t="s">
        <v>46</v>
      </c>
      <c r="B52" s="20">
        <v>1534</v>
      </c>
      <c r="C52" s="19">
        <v>1399</v>
      </c>
      <c r="D52" s="20"/>
      <c r="E52" s="20">
        <v>5.333333333333333</v>
      </c>
      <c r="F52" s="20">
        <v>2</v>
      </c>
      <c r="G52" s="20"/>
      <c r="H52" s="20">
        <v>368.3333333333333</v>
      </c>
      <c r="I52" s="20">
        <v>347</v>
      </c>
      <c r="J52" s="20"/>
      <c r="K52" s="20">
        <v>1160.3333333333333</v>
      </c>
      <c r="L52" s="20">
        <v>1050</v>
      </c>
    </row>
    <row r="53" spans="1:12" ht="15.75">
      <c r="A53" s="18" t="s">
        <v>47</v>
      </c>
      <c r="B53" s="20">
        <v>2493</v>
      </c>
      <c r="C53" s="19">
        <v>2338</v>
      </c>
      <c r="D53" s="20"/>
      <c r="E53" s="20">
        <v>8</v>
      </c>
      <c r="F53" s="20">
        <v>10</v>
      </c>
      <c r="G53" s="20"/>
      <c r="H53" s="20">
        <v>732.6666666666666</v>
      </c>
      <c r="I53" s="20">
        <v>645</v>
      </c>
      <c r="J53" s="20"/>
      <c r="K53" s="20">
        <v>1752.3333333333333</v>
      </c>
      <c r="L53" s="20">
        <v>1683</v>
      </c>
    </row>
    <row r="54" spans="1:12" ht="15.75">
      <c r="A54" s="18" t="s">
        <v>48</v>
      </c>
      <c r="B54" s="20">
        <v>2809</v>
      </c>
      <c r="C54" s="19">
        <v>2702</v>
      </c>
      <c r="D54" s="20"/>
      <c r="E54" s="20">
        <v>11.333333333333334</v>
      </c>
      <c r="F54" s="20">
        <v>7</v>
      </c>
      <c r="G54" s="20"/>
      <c r="H54" s="20">
        <v>943</v>
      </c>
      <c r="I54" s="20">
        <v>859</v>
      </c>
      <c r="J54" s="20"/>
      <c r="K54" s="20">
        <v>1854.6666666666667</v>
      </c>
      <c r="L54" s="20">
        <v>1836</v>
      </c>
    </row>
    <row r="55" spans="1:12" ht="15.75">
      <c r="A55" s="18" t="s">
        <v>49</v>
      </c>
      <c r="B55" s="20">
        <v>6289</v>
      </c>
      <c r="C55" s="19">
        <v>6437</v>
      </c>
      <c r="D55" s="20"/>
      <c r="E55" s="20">
        <v>13</v>
      </c>
      <c r="F55" s="20">
        <v>17</v>
      </c>
      <c r="G55" s="20"/>
      <c r="H55" s="20">
        <v>2292</v>
      </c>
      <c r="I55" s="20">
        <v>2263</v>
      </c>
      <c r="J55" s="20"/>
      <c r="K55" s="20">
        <v>3984</v>
      </c>
      <c r="L55" s="20">
        <v>4157</v>
      </c>
    </row>
    <row r="56" spans="1:12" ht="15.75">
      <c r="A56" s="18" t="s">
        <v>50</v>
      </c>
      <c r="B56" s="20">
        <v>2492.6666666666665</v>
      </c>
      <c r="C56" s="19">
        <v>2318</v>
      </c>
      <c r="D56" s="20"/>
      <c r="E56" s="20">
        <v>10.333333333333334</v>
      </c>
      <c r="F56" s="20">
        <v>9</v>
      </c>
      <c r="G56" s="20"/>
      <c r="H56" s="20">
        <v>549</v>
      </c>
      <c r="I56" s="20">
        <v>528</v>
      </c>
      <c r="J56" s="20"/>
      <c r="K56" s="20">
        <v>1933.3333333333333</v>
      </c>
      <c r="L56" s="20">
        <v>1781</v>
      </c>
    </row>
    <row r="57" spans="1:12" ht="15.75">
      <c r="A57" s="18" t="s">
        <v>51</v>
      </c>
      <c r="B57" s="20">
        <v>4587.333333333333</v>
      </c>
      <c r="C57" s="19">
        <v>4520</v>
      </c>
      <c r="D57" s="20"/>
      <c r="E57" s="20">
        <v>17.666666666666668</v>
      </c>
      <c r="F57" s="20">
        <v>17</v>
      </c>
      <c r="G57" s="20"/>
      <c r="H57" s="20">
        <v>1214.6666666666667</v>
      </c>
      <c r="I57" s="20">
        <v>1213</v>
      </c>
      <c r="J57" s="20"/>
      <c r="K57" s="20">
        <v>3355</v>
      </c>
      <c r="L57" s="20">
        <v>3290</v>
      </c>
    </row>
    <row r="58" spans="1:12" ht="15.75">
      <c r="A58" s="18" t="s">
        <v>52</v>
      </c>
      <c r="B58" s="20">
        <v>3392.6666666666665</v>
      </c>
      <c r="C58" s="19">
        <v>3319</v>
      </c>
      <c r="D58" s="20"/>
      <c r="E58" s="20">
        <v>4.666666666666667</v>
      </c>
      <c r="F58" s="20">
        <v>9</v>
      </c>
      <c r="G58" s="20"/>
      <c r="H58" s="20">
        <v>1061.6666666666667</v>
      </c>
      <c r="I58" s="20">
        <v>981</v>
      </c>
      <c r="J58" s="20"/>
      <c r="K58" s="20">
        <v>2326.3333333333335</v>
      </c>
      <c r="L58" s="20">
        <v>2329</v>
      </c>
    </row>
    <row r="59" spans="1:12" ht="15.75">
      <c r="A59" s="18" t="s">
        <v>53</v>
      </c>
      <c r="B59" s="20">
        <v>712.6666666666666</v>
      </c>
      <c r="C59" s="19">
        <v>638</v>
      </c>
      <c r="D59" s="20"/>
      <c r="E59" s="20">
        <v>1.3333333333333333</v>
      </c>
      <c r="F59" s="19">
        <v>0</v>
      </c>
      <c r="G59" s="20"/>
      <c r="H59" s="20">
        <v>198</v>
      </c>
      <c r="I59" s="20">
        <v>164</v>
      </c>
      <c r="J59" s="20"/>
      <c r="K59" s="20">
        <v>513.3333333333334</v>
      </c>
      <c r="L59" s="20">
        <v>474</v>
      </c>
    </row>
    <row r="60" spans="1:12" ht="15.75">
      <c r="A60" s="18" t="s">
        <v>54</v>
      </c>
      <c r="B60" s="20">
        <v>536.6666666666666</v>
      </c>
      <c r="C60" s="19">
        <v>452</v>
      </c>
      <c r="D60" s="20"/>
      <c r="E60" s="20">
        <v>1.3333333333333333</v>
      </c>
      <c r="F60" s="20">
        <v>2</v>
      </c>
      <c r="G60" s="20"/>
      <c r="H60" s="20">
        <v>116</v>
      </c>
      <c r="I60" s="20">
        <v>110</v>
      </c>
      <c r="J60" s="20"/>
      <c r="K60" s="20">
        <v>419.3333333333333</v>
      </c>
      <c r="L60" s="20">
        <v>340</v>
      </c>
    </row>
    <row r="61" spans="1:12" ht="15.75">
      <c r="A61" s="18" t="s">
        <v>55</v>
      </c>
      <c r="B61" s="20">
        <v>767.6666666666666</v>
      </c>
      <c r="C61" s="19">
        <v>812</v>
      </c>
      <c r="D61" s="20"/>
      <c r="E61" s="20">
        <v>3.6666666666666665</v>
      </c>
      <c r="F61" s="20">
        <v>6</v>
      </c>
      <c r="G61" s="20"/>
      <c r="H61" s="20">
        <v>231.66666666666666</v>
      </c>
      <c r="I61" s="20">
        <v>237</v>
      </c>
      <c r="J61" s="20"/>
      <c r="K61" s="20">
        <v>532.3333333333334</v>
      </c>
      <c r="L61" s="20">
        <v>569</v>
      </c>
    </row>
    <row r="62" spans="1:12" ht="15.75">
      <c r="A62" s="18" t="s">
        <v>56</v>
      </c>
      <c r="B62" s="20">
        <v>2092</v>
      </c>
      <c r="C62" s="19">
        <v>2005</v>
      </c>
      <c r="D62" s="20"/>
      <c r="E62" s="20">
        <v>9</v>
      </c>
      <c r="F62" s="20">
        <v>10</v>
      </c>
      <c r="G62" s="20"/>
      <c r="H62" s="20">
        <v>546</v>
      </c>
      <c r="I62" s="20">
        <v>491</v>
      </c>
      <c r="J62" s="20"/>
      <c r="K62" s="20">
        <v>1537</v>
      </c>
      <c r="L62" s="20">
        <v>1504</v>
      </c>
    </row>
    <row r="63" spans="1:12" ht="15.75">
      <c r="A63" s="18" t="s">
        <v>57</v>
      </c>
      <c r="B63" s="20">
        <v>29870.333333333332</v>
      </c>
      <c r="C63" s="19">
        <v>30477</v>
      </c>
      <c r="D63" s="20"/>
      <c r="E63" s="20">
        <v>140.33333333333334</v>
      </c>
      <c r="F63" s="20">
        <v>139</v>
      </c>
      <c r="G63" s="20"/>
      <c r="H63" s="20">
        <v>12791.666666666666</v>
      </c>
      <c r="I63" s="20">
        <v>12468</v>
      </c>
      <c r="J63" s="20"/>
      <c r="K63" s="20">
        <v>16938.333333333332</v>
      </c>
      <c r="L63" s="20">
        <v>17870</v>
      </c>
    </row>
    <row r="64" spans="1:12" ht="15.75">
      <c r="A64" s="18" t="s">
        <v>58</v>
      </c>
      <c r="B64" s="20">
        <v>1961</v>
      </c>
      <c r="C64" s="19">
        <v>1760</v>
      </c>
      <c r="D64" s="20"/>
      <c r="E64" s="20">
        <v>11.333333333333334</v>
      </c>
      <c r="F64" s="20">
        <v>11</v>
      </c>
      <c r="G64" s="20"/>
      <c r="H64" s="20">
        <v>598.3333333333334</v>
      </c>
      <c r="I64" s="20">
        <v>516</v>
      </c>
      <c r="J64" s="20"/>
      <c r="K64" s="20">
        <v>1351.3333333333333</v>
      </c>
      <c r="L64" s="20">
        <v>1233</v>
      </c>
    </row>
    <row r="65" spans="1:12" ht="15.75">
      <c r="A65" s="18" t="s">
        <v>59</v>
      </c>
      <c r="B65" s="20">
        <v>911.3333333333334</v>
      </c>
      <c r="C65" s="19">
        <v>868</v>
      </c>
      <c r="D65" s="20"/>
      <c r="E65" s="20">
        <v>3.6666666666666665</v>
      </c>
      <c r="F65" s="20">
        <v>8</v>
      </c>
      <c r="G65" s="20"/>
      <c r="H65" s="20">
        <v>253</v>
      </c>
      <c r="I65" s="20">
        <v>220</v>
      </c>
      <c r="J65" s="20"/>
      <c r="K65" s="20">
        <v>654.6666666666666</v>
      </c>
      <c r="L65" s="20">
        <v>640</v>
      </c>
    </row>
    <row r="66" spans="1:12" ht="15.75">
      <c r="A66" s="18" t="s">
        <v>60</v>
      </c>
      <c r="B66" s="20">
        <v>2443.6666666666665</v>
      </c>
      <c r="C66" s="19">
        <v>2344</v>
      </c>
      <c r="D66" s="20"/>
      <c r="E66" s="20">
        <v>9</v>
      </c>
      <c r="F66" s="20">
        <v>6</v>
      </c>
      <c r="G66" s="20"/>
      <c r="H66" s="20">
        <v>584</v>
      </c>
      <c r="I66" s="20">
        <v>500</v>
      </c>
      <c r="J66" s="20"/>
      <c r="K66" s="20">
        <v>1850.6666666666667</v>
      </c>
      <c r="L66" s="20">
        <v>1838</v>
      </c>
    </row>
    <row r="67" spans="1:12" ht="15.75">
      <c r="A67" s="18" t="s">
        <v>61</v>
      </c>
      <c r="B67" s="20">
        <v>4660.666666666667</v>
      </c>
      <c r="C67" s="19">
        <v>4443</v>
      </c>
      <c r="D67" s="20"/>
      <c r="E67" s="20">
        <v>19.333333333333332</v>
      </c>
      <c r="F67" s="20">
        <v>14</v>
      </c>
      <c r="G67" s="20"/>
      <c r="H67" s="20">
        <v>1490</v>
      </c>
      <c r="I67" s="20">
        <v>1343</v>
      </c>
      <c r="J67" s="20"/>
      <c r="K67" s="20">
        <v>3151.3333333333335</v>
      </c>
      <c r="L67" s="20">
        <v>3086</v>
      </c>
    </row>
    <row r="68" spans="1:12" ht="15.75">
      <c r="A68" s="18" t="s">
        <v>62</v>
      </c>
      <c r="B68" s="20">
        <v>1720.6666666666667</v>
      </c>
      <c r="C68" s="19">
        <v>1747</v>
      </c>
      <c r="D68" s="20"/>
      <c r="E68" s="20">
        <v>7.333333333333333</v>
      </c>
      <c r="F68" s="20">
        <v>6</v>
      </c>
      <c r="G68" s="20"/>
      <c r="H68" s="20">
        <v>514.3333333333334</v>
      </c>
      <c r="I68" s="20">
        <v>508</v>
      </c>
      <c r="J68" s="20"/>
      <c r="K68" s="20">
        <v>1199</v>
      </c>
      <c r="L68" s="20">
        <v>1233</v>
      </c>
    </row>
    <row r="69" spans="1:12" ht="15.75">
      <c r="A69" s="18" t="s">
        <v>63</v>
      </c>
      <c r="B69" s="20">
        <v>1106</v>
      </c>
      <c r="C69" s="19">
        <v>1032</v>
      </c>
      <c r="D69" s="20"/>
      <c r="E69" s="20">
        <v>8.333333333333334</v>
      </c>
      <c r="F69" s="20">
        <v>9</v>
      </c>
      <c r="G69" s="20"/>
      <c r="H69" s="20">
        <v>363.3333333333333</v>
      </c>
      <c r="I69" s="20">
        <v>324</v>
      </c>
      <c r="J69" s="20"/>
      <c r="K69" s="20">
        <v>734.3333333333334</v>
      </c>
      <c r="L69" s="20">
        <v>699</v>
      </c>
    </row>
    <row r="70" spans="1:12" ht="15.75">
      <c r="A70" s="18" t="s">
        <v>64</v>
      </c>
      <c r="B70" s="20">
        <v>1781.3333333333333</v>
      </c>
      <c r="C70" s="19">
        <v>1617</v>
      </c>
      <c r="D70" s="20"/>
      <c r="E70" s="20">
        <v>8.333333333333334</v>
      </c>
      <c r="F70" s="20">
        <v>9</v>
      </c>
      <c r="G70" s="20"/>
      <c r="H70" s="20">
        <v>470.3333333333333</v>
      </c>
      <c r="I70" s="18">
        <v>434</v>
      </c>
      <c r="J70" s="20"/>
      <c r="K70" s="20">
        <v>1302.6666666666667</v>
      </c>
      <c r="L70" s="20">
        <v>1174</v>
      </c>
    </row>
    <row r="71" spans="1:12" ht="15.75">
      <c r="A71" s="1" t="s">
        <v>65</v>
      </c>
      <c r="B71" s="8">
        <v>15440.666666666666</v>
      </c>
      <c r="C71" s="7">
        <v>15250</v>
      </c>
      <c r="D71" s="8"/>
      <c r="E71" s="8">
        <v>39.333333333333336</v>
      </c>
      <c r="F71" s="8">
        <v>31</v>
      </c>
      <c r="G71" s="8"/>
      <c r="H71" s="8">
        <v>5907.666666666667</v>
      </c>
      <c r="I71" s="8">
        <v>5754</v>
      </c>
      <c r="J71" s="8"/>
      <c r="K71" s="8">
        <v>9493.666666666666</v>
      </c>
      <c r="L71" s="8">
        <v>9465</v>
      </c>
    </row>
    <row r="72" spans="1:12" ht="15.75">
      <c r="A72" s="1" t="s">
        <v>66</v>
      </c>
      <c r="B72" s="8">
        <v>1120.3333333333333</v>
      </c>
      <c r="C72" s="7">
        <v>1060</v>
      </c>
      <c r="D72" s="8"/>
      <c r="E72" s="8">
        <v>4.666666666666667</v>
      </c>
      <c r="F72" s="8">
        <v>5</v>
      </c>
      <c r="G72" s="8"/>
      <c r="H72" s="8">
        <v>241.66666666666666</v>
      </c>
      <c r="I72" s="8">
        <v>204</v>
      </c>
      <c r="J72" s="8"/>
      <c r="K72" s="8">
        <v>874</v>
      </c>
      <c r="L72" s="8">
        <v>851</v>
      </c>
    </row>
    <row r="73" spans="1:12" ht="15.75">
      <c r="A73" s="1" t="s">
        <v>67</v>
      </c>
      <c r="B73" s="8">
        <v>497.3333333333333</v>
      </c>
      <c r="C73" s="7">
        <v>465</v>
      </c>
      <c r="D73" s="8"/>
      <c r="E73" s="8">
        <v>2.3333333333333335</v>
      </c>
      <c r="F73" s="7">
        <v>1</v>
      </c>
      <c r="G73" s="8"/>
      <c r="H73" s="8">
        <v>116</v>
      </c>
      <c r="I73" s="8">
        <v>116</v>
      </c>
      <c r="J73" s="8"/>
      <c r="K73" s="8">
        <v>379</v>
      </c>
      <c r="L73" s="8">
        <v>348</v>
      </c>
    </row>
    <row r="74" spans="1:12" ht="15.75">
      <c r="A74" s="1"/>
      <c r="B74" s="8"/>
      <c r="C74" s="7"/>
      <c r="D74" s="8"/>
      <c r="E74" s="8"/>
      <c r="F74" s="7"/>
      <c r="G74" s="8"/>
      <c r="H74" s="8"/>
      <c r="I74" s="8"/>
      <c r="J74" s="8"/>
      <c r="K74" s="8"/>
      <c r="L74" s="8"/>
    </row>
    <row r="75" spans="1:12" ht="15.75">
      <c r="A75" s="1" t="s">
        <v>71</v>
      </c>
      <c r="B75" s="8">
        <v>1368.6666666666667</v>
      </c>
      <c r="C75" s="7">
        <v>809</v>
      </c>
      <c r="D75" s="8"/>
      <c r="E75" s="19">
        <v>0</v>
      </c>
      <c r="F75" s="19">
        <v>0</v>
      </c>
      <c r="G75" s="8"/>
      <c r="H75" s="8">
        <v>329.3333333333333</v>
      </c>
      <c r="I75" s="8">
        <v>156</v>
      </c>
      <c r="J75" s="8"/>
      <c r="K75" s="8">
        <v>1039.3333333333333</v>
      </c>
      <c r="L75" s="8">
        <v>653</v>
      </c>
    </row>
    <row r="76" spans="1:12" ht="15.75">
      <c r="A76" s="3"/>
      <c r="B76" s="14"/>
      <c r="C76" s="15" t="s">
        <v>72</v>
      </c>
      <c r="D76" s="14"/>
      <c r="E76" s="14"/>
      <c r="F76" s="14"/>
      <c r="G76" s="14"/>
      <c r="H76" s="14"/>
      <c r="I76" s="14"/>
      <c r="J76" s="14"/>
      <c r="K76" s="14"/>
      <c r="L76" s="14"/>
    </row>
    <row r="77" spans="1:12" ht="50.25" customHeight="1">
      <c r="A77" s="28" t="s">
        <v>76</v>
      </c>
      <c r="B77" s="28"/>
      <c r="C77" s="28"/>
      <c r="D77" s="28"/>
      <c r="E77" s="28"/>
      <c r="F77" s="28"/>
      <c r="G77" s="28"/>
      <c r="H77" s="28"/>
      <c r="I77" s="28"/>
      <c r="J77" s="28"/>
      <c r="K77" s="28"/>
      <c r="L77" s="28"/>
    </row>
    <row r="78" spans="1:12" ht="15.75">
      <c r="A78" s="1"/>
      <c r="B78" s="8"/>
      <c r="C78" s="7"/>
      <c r="D78" s="8"/>
      <c r="E78" s="8"/>
      <c r="F78" s="8"/>
      <c r="G78" s="8"/>
      <c r="H78" s="8"/>
      <c r="I78" s="8"/>
      <c r="J78" s="8"/>
      <c r="K78" s="8"/>
      <c r="L78" s="8"/>
    </row>
    <row r="79" spans="1:12" ht="33" customHeight="1">
      <c r="A79" s="28" t="s">
        <v>77</v>
      </c>
      <c r="B79" s="28"/>
      <c r="C79" s="28"/>
      <c r="D79" s="28"/>
      <c r="E79" s="28"/>
      <c r="F79" s="28"/>
      <c r="G79" s="28"/>
      <c r="H79" s="28"/>
      <c r="I79" s="28"/>
      <c r="J79" s="28"/>
      <c r="K79" s="28"/>
      <c r="L79" s="28"/>
    </row>
    <row r="80" spans="1:12" ht="48.75" customHeight="1">
      <c r="A80" s="29" t="s">
        <v>78</v>
      </c>
      <c r="B80" s="29"/>
      <c r="C80" s="29"/>
      <c r="D80" s="29"/>
      <c r="E80" s="29"/>
      <c r="F80" s="29"/>
      <c r="G80" s="29"/>
      <c r="H80" s="29"/>
      <c r="I80" s="29"/>
      <c r="J80" s="29"/>
      <c r="K80" s="29"/>
      <c r="L80" s="29"/>
    </row>
    <row r="81" spans="1:12" ht="51" customHeight="1">
      <c r="A81" s="28" t="s">
        <v>79</v>
      </c>
      <c r="B81" s="28"/>
      <c r="C81" s="28"/>
      <c r="D81" s="28"/>
      <c r="E81" s="28"/>
      <c r="F81" s="28"/>
      <c r="G81" s="28"/>
      <c r="H81" s="28"/>
      <c r="I81" s="28"/>
      <c r="J81" s="28"/>
      <c r="K81" s="28"/>
      <c r="L81" s="28"/>
    </row>
    <row r="82" spans="1:12" ht="15.75">
      <c r="A82" s="1"/>
      <c r="B82" s="16"/>
      <c r="C82" s="1"/>
      <c r="D82" s="1"/>
      <c r="E82" s="1"/>
      <c r="F82" s="1"/>
      <c r="G82" s="1"/>
      <c r="H82" s="1"/>
      <c r="I82" s="1"/>
      <c r="J82" s="1"/>
      <c r="K82" s="1"/>
      <c r="L82" s="1"/>
    </row>
    <row r="83" spans="1:12" ht="15.75">
      <c r="A83" s="1" t="s">
        <v>68</v>
      </c>
      <c r="B83" s="1"/>
      <c r="C83" s="2"/>
      <c r="D83" s="1"/>
      <c r="E83" s="1"/>
      <c r="F83" s="1"/>
      <c r="G83" s="1"/>
      <c r="H83" s="1"/>
      <c r="I83" s="1"/>
      <c r="J83" s="1"/>
      <c r="K83" s="1"/>
      <c r="L83" s="1"/>
    </row>
    <row r="84" spans="1:12" ht="15.75">
      <c r="A84" s="1"/>
      <c r="B84" s="8"/>
      <c r="C84" s="7"/>
      <c r="D84" s="8"/>
      <c r="E84" s="8"/>
      <c r="F84" s="8"/>
      <c r="G84" s="8"/>
      <c r="H84" s="8"/>
      <c r="I84" s="8"/>
      <c r="J84" s="8"/>
      <c r="K84" s="8"/>
      <c r="L84" s="8"/>
    </row>
  </sheetData>
  <sheetProtection/>
  <mergeCells count="8">
    <mergeCell ref="A80:L80"/>
    <mergeCell ref="A81:L81"/>
    <mergeCell ref="B4:C4"/>
    <mergeCell ref="E4:F4"/>
    <mergeCell ref="H4:I4"/>
    <mergeCell ref="K4:L4"/>
    <mergeCell ref="A77:L77"/>
    <mergeCell ref="A79:L79"/>
  </mergeCells>
  <printOptions/>
  <pageMargins left="0.7" right="0.7" top="0.75" bottom="0.75" header="0.3" footer="0.3"/>
  <pageSetup fitToHeight="2" fitToWidth="1" horizontalDpi="600" verticalDpi="600" orientation="landscape" scale="75" r:id="rId1"/>
</worksheet>
</file>

<file path=xl/worksheets/sheet3.xml><?xml version="1.0" encoding="utf-8"?>
<worksheet xmlns="http://schemas.openxmlformats.org/spreadsheetml/2006/main" xmlns:r="http://schemas.openxmlformats.org/officeDocument/2006/relationships">
  <sheetPr>
    <pageSetUpPr fitToPage="1"/>
  </sheetPr>
  <dimension ref="A1:L84"/>
  <sheetViews>
    <sheetView zoomScalePageLayoutView="0" workbookViewId="0" topLeftCell="A1">
      <selection activeCell="A1" sqref="A1"/>
    </sheetView>
  </sheetViews>
  <sheetFormatPr defaultColWidth="10.77734375" defaultRowHeight="15.75"/>
  <cols>
    <col min="1" max="1" width="25.77734375" style="0" customWidth="1"/>
    <col min="2" max="3" width="10.77734375" style="0" customWidth="1"/>
    <col min="4" max="4" width="3.77734375" style="0" customWidth="1"/>
    <col min="5" max="6" width="10.77734375" style="0" customWidth="1"/>
    <col min="7" max="7" width="3.77734375" style="0" customWidth="1"/>
    <col min="8" max="9" width="10.77734375" style="0" customWidth="1"/>
    <col min="10" max="10" width="3.77734375" style="0" customWidth="1"/>
  </cols>
  <sheetData>
    <row r="1" spans="1:12" ht="20.25">
      <c r="A1" s="12" t="s">
        <v>0</v>
      </c>
      <c r="B1" s="1"/>
      <c r="C1" s="2"/>
      <c r="D1" s="1"/>
      <c r="E1" s="1"/>
      <c r="F1" s="1"/>
      <c r="G1" s="1"/>
      <c r="H1" s="1"/>
      <c r="I1" s="1"/>
      <c r="J1" s="1"/>
      <c r="K1" s="1"/>
      <c r="L1" s="1"/>
    </row>
    <row r="2" spans="1:12" ht="20.25">
      <c r="A2" s="12" t="s">
        <v>83</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74</v>
      </c>
      <c r="C4" s="30"/>
      <c r="D4" s="3"/>
      <c r="E4" s="30" t="s">
        <v>69</v>
      </c>
      <c r="F4" s="30"/>
      <c r="G4" s="3"/>
      <c r="H4" s="30" t="s">
        <v>70</v>
      </c>
      <c r="I4" s="30"/>
      <c r="J4" s="3"/>
      <c r="K4" s="30" t="s">
        <v>75</v>
      </c>
      <c r="L4" s="30"/>
    </row>
    <row r="5" spans="1:12" ht="29.25">
      <c r="A5" s="4" t="s">
        <v>1</v>
      </c>
      <c r="B5" s="17" t="s">
        <v>84</v>
      </c>
      <c r="C5" s="5">
        <v>2010</v>
      </c>
      <c r="D5" s="4"/>
      <c r="E5" s="17" t="s">
        <v>84</v>
      </c>
      <c r="F5" s="5">
        <v>2010</v>
      </c>
      <c r="G5" s="4"/>
      <c r="H5" s="17" t="s">
        <v>84</v>
      </c>
      <c r="I5" s="5">
        <v>2010</v>
      </c>
      <c r="J5" s="4"/>
      <c r="K5" s="17" t="s">
        <v>84</v>
      </c>
      <c r="L5" s="5">
        <v>2010</v>
      </c>
    </row>
    <row r="6" spans="1:12" ht="15.75">
      <c r="A6" s="1"/>
      <c r="B6" s="1"/>
      <c r="C6" s="2"/>
      <c r="D6" s="1"/>
      <c r="E6" s="1"/>
      <c r="F6" s="1"/>
      <c r="G6" s="1"/>
      <c r="H6" s="6"/>
      <c r="I6" s="1"/>
      <c r="J6" s="1"/>
      <c r="K6" s="1"/>
      <c r="L6" s="1"/>
    </row>
    <row r="7" spans="1:12" ht="15.75">
      <c r="A7" s="18" t="s">
        <v>2</v>
      </c>
      <c r="B7" s="20">
        <v>318103.6666666666</v>
      </c>
      <c r="C7" s="20">
        <v>315377</v>
      </c>
      <c r="D7" s="20" t="s">
        <v>3</v>
      </c>
      <c r="E7" s="20">
        <v>1146.6666666666665</v>
      </c>
      <c r="F7" s="20">
        <v>1119</v>
      </c>
      <c r="G7" s="20"/>
      <c r="H7" s="20">
        <v>135966.33333333334</v>
      </c>
      <c r="I7" s="20">
        <v>134151</v>
      </c>
      <c r="J7" s="20"/>
      <c r="K7" s="20">
        <v>180990.66666666666</v>
      </c>
      <c r="L7" s="20">
        <v>180107</v>
      </c>
    </row>
    <row r="8" spans="1:12" ht="15.75">
      <c r="A8" s="18"/>
      <c r="B8" s="20"/>
      <c r="C8" s="19"/>
      <c r="D8" s="20"/>
      <c r="E8" s="20"/>
      <c r="F8" s="20"/>
      <c r="G8" s="20" t="s">
        <v>3</v>
      </c>
      <c r="H8" s="20"/>
      <c r="I8" s="20"/>
      <c r="J8" s="20" t="s">
        <v>3</v>
      </c>
      <c r="K8" s="20"/>
      <c r="L8" s="20"/>
    </row>
    <row r="9" spans="1:12" ht="15.75">
      <c r="A9" s="18" t="s">
        <v>4</v>
      </c>
      <c r="B9" s="20">
        <v>77178.33333333334</v>
      </c>
      <c r="C9" s="20">
        <v>78343</v>
      </c>
      <c r="D9" s="20" t="s">
        <v>3</v>
      </c>
      <c r="E9" s="20">
        <v>266</v>
      </c>
      <c r="F9" s="20">
        <v>261</v>
      </c>
      <c r="G9" s="20"/>
      <c r="H9" s="20">
        <v>51763.666666666664</v>
      </c>
      <c r="I9" s="20">
        <v>53609</v>
      </c>
      <c r="J9" s="20"/>
      <c r="K9" s="20">
        <v>25148.666666666668</v>
      </c>
      <c r="L9" s="20">
        <v>24473</v>
      </c>
    </row>
    <row r="10" spans="1:12" ht="15.75">
      <c r="A10" s="18" t="s">
        <v>5</v>
      </c>
      <c r="B10" s="20">
        <v>12313.333333333334</v>
      </c>
      <c r="C10" s="19">
        <v>12599</v>
      </c>
      <c r="D10" s="20"/>
      <c r="E10" s="20">
        <v>37</v>
      </c>
      <c r="F10" s="20">
        <v>48</v>
      </c>
      <c r="G10" s="20"/>
      <c r="H10" s="20">
        <v>8602.666666666666</v>
      </c>
      <c r="I10" s="20">
        <v>9108</v>
      </c>
      <c r="J10" s="20"/>
      <c r="K10" s="20">
        <v>3673.6666666666665</v>
      </c>
      <c r="L10" s="20">
        <v>3443</v>
      </c>
    </row>
    <row r="11" spans="1:12" ht="15.75">
      <c r="A11" s="18" t="s">
        <v>6</v>
      </c>
      <c r="B11" s="20">
        <v>22966</v>
      </c>
      <c r="C11" s="19">
        <v>24079</v>
      </c>
      <c r="D11" s="20"/>
      <c r="E11" s="20">
        <v>83.66666666666667</v>
      </c>
      <c r="F11" s="20">
        <v>75</v>
      </c>
      <c r="G11" s="20"/>
      <c r="H11" s="20">
        <v>16297.666666666666</v>
      </c>
      <c r="I11" s="20">
        <v>17436</v>
      </c>
      <c r="J11" s="20"/>
      <c r="K11" s="20">
        <v>6584.666666666667</v>
      </c>
      <c r="L11" s="20">
        <v>6568</v>
      </c>
    </row>
    <row r="12" spans="1:12" ht="15.75">
      <c r="A12" s="18" t="s">
        <v>7</v>
      </c>
      <c r="B12" s="20">
        <v>14228.333333333334</v>
      </c>
      <c r="C12" s="19">
        <v>13502</v>
      </c>
      <c r="D12" s="20"/>
      <c r="E12" s="20">
        <v>52.666666666666664</v>
      </c>
      <c r="F12" s="20">
        <v>44</v>
      </c>
      <c r="G12" s="20"/>
      <c r="H12" s="20">
        <v>9187.333333333334</v>
      </c>
      <c r="I12" s="20">
        <v>8950</v>
      </c>
      <c r="J12" s="20"/>
      <c r="K12" s="20">
        <v>4988.333333333333</v>
      </c>
      <c r="L12" s="20">
        <v>4508</v>
      </c>
    </row>
    <row r="13" spans="1:12" ht="15.75">
      <c r="A13" s="18" t="s">
        <v>8</v>
      </c>
      <c r="B13" s="20">
        <v>22857.666666666668</v>
      </c>
      <c r="C13" s="19">
        <v>23306</v>
      </c>
      <c r="D13" s="20"/>
      <c r="E13" s="20">
        <v>75.66666666666667</v>
      </c>
      <c r="F13" s="20">
        <v>70</v>
      </c>
      <c r="G13" s="20"/>
      <c r="H13" s="20">
        <v>14898.666666666666</v>
      </c>
      <c r="I13" s="20">
        <v>15256</v>
      </c>
      <c r="J13" s="20"/>
      <c r="K13" s="20">
        <v>7883.333333333333</v>
      </c>
      <c r="L13" s="20">
        <v>7980</v>
      </c>
    </row>
    <row r="14" spans="1:12" ht="15.75">
      <c r="A14" s="18" t="s">
        <v>9</v>
      </c>
      <c r="B14" s="20">
        <v>4813</v>
      </c>
      <c r="C14" s="19">
        <v>4857</v>
      </c>
      <c r="D14" s="20"/>
      <c r="E14" s="20">
        <v>17</v>
      </c>
      <c r="F14" s="20">
        <v>24</v>
      </c>
      <c r="G14" s="20"/>
      <c r="H14" s="20">
        <v>2777.3333333333335</v>
      </c>
      <c r="I14" s="20">
        <v>2859</v>
      </c>
      <c r="J14" s="20"/>
      <c r="K14" s="20">
        <v>2018.6666666666667</v>
      </c>
      <c r="L14" s="20">
        <v>1974</v>
      </c>
    </row>
    <row r="15" spans="1:12" ht="15.75">
      <c r="A15" s="18"/>
      <c r="B15" s="20"/>
      <c r="C15" s="19"/>
      <c r="D15" s="20"/>
      <c r="E15" s="20"/>
      <c r="F15" s="20"/>
      <c r="G15" s="20"/>
      <c r="H15" s="20"/>
      <c r="I15" s="20"/>
      <c r="J15" s="20"/>
      <c r="K15" s="20"/>
      <c r="L15" s="20"/>
    </row>
    <row r="16" spans="1:12" ht="15.75">
      <c r="A16" s="18" t="s">
        <v>10</v>
      </c>
      <c r="B16" s="20">
        <v>240925.33333333328</v>
      </c>
      <c r="C16" s="20">
        <v>237034</v>
      </c>
      <c r="D16" s="20"/>
      <c r="E16" s="20">
        <v>880.6666666666666</v>
      </c>
      <c r="F16" s="20">
        <v>858</v>
      </c>
      <c r="G16" s="20"/>
      <c r="H16" s="20">
        <v>84202.66666666667</v>
      </c>
      <c r="I16" s="20">
        <v>80542</v>
      </c>
      <c r="J16" s="20"/>
      <c r="K16" s="20">
        <v>155842</v>
      </c>
      <c r="L16" s="20">
        <v>155634</v>
      </c>
    </row>
    <row r="17" spans="1:12" ht="15.75">
      <c r="A17" s="18" t="s">
        <v>11</v>
      </c>
      <c r="B17" s="20">
        <v>8070</v>
      </c>
      <c r="C17" s="19">
        <v>7965</v>
      </c>
      <c r="D17" s="20"/>
      <c r="E17" s="20">
        <v>18.333333333333332</v>
      </c>
      <c r="F17" s="20">
        <v>16</v>
      </c>
      <c r="G17" s="20"/>
      <c r="H17" s="20">
        <v>2503</v>
      </c>
      <c r="I17" s="20">
        <v>2540</v>
      </c>
      <c r="J17" s="20"/>
      <c r="K17" s="20">
        <v>5548.666666666667</v>
      </c>
      <c r="L17" s="20">
        <v>5409</v>
      </c>
    </row>
    <row r="18" spans="1:12" ht="15.75">
      <c r="A18" s="18" t="s">
        <v>12</v>
      </c>
      <c r="B18" s="20">
        <v>984</v>
      </c>
      <c r="C18" s="19">
        <v>926</v>
      </c>
      <c r="D18" s="20"/>
      <c r="E18" s="20">
        <v>5</v>
      </c>
      <c r="F18" s="20">
        <v>7</v>
      </c>
      <c r="G18" s="20"/>
      <c r="H18" s="20">
        <v>285.6666666666667</v>
      </c>
      <c r="I18" s="20">
        <v>229</v>
      </c>
      <c r="J18" s="20"/>
      <c r="K18" s="20">
        <v>693.3333333333334</v>
      </c>
      <c r="L18" s="20">
        <v>690</v>
      </c>
    </row>
    <row r="19" spans="1:12" ht="15.75">
      <c r="A19" s="18" t="s">
        <v>13</v>
      </c>
      <c r="B19" s="20">
        <v>4149</v>
      </c>
      <c r="C19" s="19">
        <v>3842</v>
      </c>
      <c r="D19" s="20"/>
      <c r="E19" s="20">
        <v>9</v>
      </c>
      <c r="F19" s="20">
        <v>13</v>
      </c>
      <c r="G19" s="20"/>
      <c r="H19" s="20">
        <v>1287</v>
      </c>
      <c r="I19" s="20">
        <v>1250</v>
      </c>
      <c r="J19" s="20"/>
      <c r="K19" s="20">
        <v>2853</v>
      </c>
      <c r="L19" s="20">
        <v>2579</v>
      </c>
    </row>
    <row r="20" spans="1:12" ht="15.75">
      <c r="A20" s="18" t="s">
        <v>14</v>
      </c>
      <c r="B20" s="20">
        <v>1779.3333333333333</v>
      </c>
      <c r="C20" s="19">
        <v>1596</v>
      </c>
      <c r="D20" s="20"/>
      <c r="E20" s="20">
        <v>8.333333333333334</v>
      </c>
      <c r="F20" s="20">
        <v>18</v>
      </c>
      <c r="G20" s="20"/>
      <c r="H20" s="20">
        <v>526.6666666666666</v>
      </c>
      <c r="I20" s="20">
        <v>430</v>
      </c>
      <c r="J20" s="20"/>
      <c r="K20" s="20">
        <v>1244.3333333333333</v>
      </c>
      <c r="L20" s="20">
        <v>1148</v>
      </c>
    </row>
    <row r="21" spans="1:12" ht="15.75">
      <c r="A21" s="18" t="s">
        <v>15</v>
      </c>
      <c r="B21" s="20">
        <v>1743</v>
      </c>
      <c r="C21" s="19">
        <v>1815</v>
      </c>
      <c r="D21" s="20"/>
      <c r="E21" s="20">
        <v>11.666666666666666</v>
      </c>
      <c r="F21" s="20">
        <v>8</v>
      </c>
      <c r="G21" s="20"/>
      <c r="H21" s="20">
        <v>513.3333333333334</v>
      </c>
      <c r="I21" s="20">
        <v>538</v>
      </c>
      <c r="J21" s="20"/>
      <c r="K21" s="20">
        <v>1218</v>
      </c>
      <c r="L21" s="20">
        <v>1269</v>
      </c>
    </row>
    <row r="22" spans="1:12" ht="15.75">
      <c r="A22" s="18" t="s">
        <v>16</v>
      </c>
      <c r="B22" s="20">
        <v>2866</v>
      </c>
      <c r="C22" s="19">
        <v>2672</v>
      </c>
      <c r="D22" s="20"/>
      <c r="E22" s="20">
        <v>13.333333333333334</v>
      </c>
      <c r="F22" s="20">
        <v>9</v>
      </c>
      <c r="G22" s="20"/>
      <c r="H22" s="20">
        <v>826.6666666666666</v>
      </c>
      <c r="I22" s="20">
        <v>753</v>
      </c>
      <c r="J22" s="20"/>
      <c r="K22" s="20">
        <v>2026</v>
      </c>
      <c r="L22" s="20">
        <v>1910</v>
      </c>
    </row>
    <row r="23" spans="1:12" ht="15.75">
      <c r="A23" s="18" t="s">
        <v>17</v>
      </c>
      <c r="B23" s="20">
        <v>1632.3333333333333</v>
      </c>
      <c r="C23" s="19">
        <v>1573</v>
      </c>
      <c r="D23" s="20"/>
      <c r="E23" s="20">
        <v>5</v>
      </c>
      <c r="F23" s="20">
        <v>7</v>
      </c>
      <c r="G23" s="20"/>
      <c r="H23" s="20">
        <v>508</v>
      </c>
      <c r="I23" s="20">
        <v>486</v>
      </c>
      <c r="J23" s="20"/>
      <c r="K23" s="20">
        <v>1119.3333333333333</v>
      </c>
      <c r="L23" s="20">
        <v>1080</v>
      </c>
    </row>
    <row r="24" spans="1:12" ht="15.75">
      <c r="A24" s="18" t="s">
        <v>18</v>
      </c>
      <c r="B24" s="20">
        <v>1133.6666666666667</v>
      </c>
      <c r="C24" s="19">
        <v>1232</v>
      </c>
      <c r="D24" s="20"/>
      <c r="E24" s="20">
        <v>8</v>
      </c>
      <c r="F24" s="20">
        <v>9</v>
      </c>
      <c r="G24" s="20"/>
      <c r="H24" s="20">
        <v>300.6666666666667</v>
      </c>
      <c r="I24" s="20">
        <v>314</v>
      </c>
      <c r="J24" s="20"/>
      <c r="K24" s="20">
        <v>825</v>
      </c>
      <c r="L24" s="20">
        <v>909</v>
      </c>
    </row>
    <row r="25" spans="1:12" ht="15.75">
      <c r="A25" s="18" t="s">
        <v>19</v>
      </c>
      <c r="B25" s="20">
        <v>1716</v>
      </c>
      <c r="C25" s="19">
        <v>1718</v>
      </c>
      <c r="D25" s="20"/>
      <c r="E25" s="20">
        <v>9</v>
      </c>
      <c r="F25" s="20">
        <v>9</v>
      </c>
      <c r="G25" s="20"/>
      <c r="H25" s="20">
        <v>444.6666666666667</v>
      </c>
      <c r="I25" s="20">
        <v>428</v>
      </c>
      <c r="J25" s="20"/>
      <c r="K25" s="20">
        <v>1262.3333333333333</v>
      </c>
      <c r="L25" s="20">
        <v>1281</v>
      </c>
    </row>
    <row r="26" spans="1:12" ht="15.75">
      <c r="A26" s="18" t="s">
        <v>20</v>
      </c>
      <c r="B26" s="20">
        <v>1377.6666666666667</v>
      </c>
      <c r="C26" s="19">
        <v>1431</v>
      </c>
      <c r="D26" s="20"/>
      <c r="E26" s="20">
        <v>8</v>
      </c>
      <c r="F26" s="20">
        <v>10</v>
      </c>
      <c r="G26" s="20"/>
      <c r="H26" s="20">
        <v>417.6666666666667</v>
      </c>
      <c r="I26" s="20">
        <v>418</v>
      </c>
      <c r="J26" s="20"/>
      <c r="K26" s="20">
        <v>952</v>
      </c>
      <c r="L26" s="20">
        <v>1003</v>
      </c>
    </row>
    <row r="27" spans="1:12" ht="15.75">
      <c r="A27" s="18" t="s">
        <v>21</v>
      </c>
      <c r="B27" s="20">
        <v>1260.6666666666667</v>
      </c>
      <c r="C27" s="19">
        <v>1235</v>
      </c>
      <c r="D27" s="20"/>
      <c r="E27" s="20">
        <v>4</v>
      </c>
      <c r="F27" s="20">
        <v>2</v>
      </c>
      <c r="G27" s="20"/>
      <c r="H27" s="20">
        <v>328.3333333333333</v>
      </c>
      <c r="I27" s="20">
        <v>299</v>
      </c>
      <c r="J27" s="20"/>
      <c r="K27" s="20">
        <v>928.3333333333334</v>
      </c>
      <c r="L27" s="20">
        <v>934</v>
      </c>
    </row>
    <row r="28" spans="1:12" ht="15.75">
      <c r="A28" s="18" t="s">
        <v>22</v>
      </c>
      <c r="B28" s="20">
        <v>1121.3333333333333</v>
      </c>
      <c r="C28" s="19">
        <v>1156</v>
      </c>
      <c r="D28" s="20"/>
      <c r="E28" s="20">
        <v>7.666666666666667</v>
      </c>
      <c r="F28" s="20">
        <v>7</v>
      </c>
      <c r="G28" s="20"/>
      <c r="H28" s="20">
        <v>325</v>
      </c>
      <c r="I28" s="20">
        <v>309</v>
      </c>
      <c r="J28" s="20"/>
      <c r="K28" s="20">
        <v>788.6666666666666</v>
      </c>
      <c r="L28" s="20">
        <v>840</v>
      </c>
    </row>
    <row r="29" spans="1:12" ht="15.75">
      <c r="A29" s="18" t="s">
        <v>23</v>
      </c>
      <c r="B29" s="20">
        <v>6677</v>
      </c>
      <c r="C29" s="19">
        <v>6482</v>
      </c>
      <c r="D29" s="20"/>
      <c r="E29" s="20">
        <v>20</v>
      </c>
      <c r="F29" s="20">
        <v>12</v>
      </c>
      <c r="G29" s="20"/>
      <c r="H29" s="20">
        <v>2133</v>
      </c>
      <c r="I29" s="20">
        <v>2151</v>
      </c>
      <c r="J29" s="20"/>
      <c r="K29" s="20">
        <v>4524</v>
      </c>
      <c r="L29" s="20">
        <v>4319</v>
      </c>
    </row>
    <row r="30" spans="1:12" ht="15.75">
      <c r="A30" s="18" t="s">
        <v>24</v>
      </c>
      <c r="B30" s="20">
        <v>16628</v>
      </c>
      <c r="C30" s="19">
        <v>17389</v>
      </c>
      <c r="D30" s="20"/>
      <c r="E30" s="20">
        <v>56</v>
      </c>
      <c r="F30" s="20">
        <v>50</v>
      </c>
      <c r="G30" s="20"/>
      <c r="H30" s="20">
        <v>7152.666666666667</v>
      </c>
      <c r="I30" s="20">
        <v>7214</v>
      </c>
      <c r="J30" s="20"/>
      <c r="K30" s="20">
        <v>9419.333333333334</v>
      </c>
      <c r="L30" s="20">
        <v>10125</v>
      </c>
    </row>
    <row r="31" spans="1:12" ht="15.75">
      <c r="A31" s="18" t="s">
        <v>25</v>
      </c>
      <c r="B31" s="20">
        <v>1022.3333333333334</v>
      </c>
      <c r="C31" s="19">
        <v>999</v>
      </c>
      <c r="D31" s="20"/>
      <c r="E31" s="20">
        <v>4.333333333333333</v>
      </c>
      <c r="F31" s="20">
        <v>4</v>
      </c>
      <c r="G31" s="20"/>
      <c r="H31" s="20">
        <v>262.3333333333333</v>
      </c>
      <c r="I31" s="20">
        <v>245</v>
      </c>
      <c r="J31" s="20"/>
      <c r="K31" s="20">
        <v>755.6666666666666</v>
      </c>
      <c r="L31" s="20">
        <v>750</v>
      </c>
    </row>
    <row r="32" spans="1:12" ht="15.75">
      <c r="A32" s="18" t="s">
        <v>26</v>
      </c>
      <c r="B32" s="20">
        <v>1138.3333333333333</v>
      </c>
      <c r="C32" s="19">
        <v>1133</v>
      </c>
      <c r="D32" s="20"/>
      <c r="E32" s="20">
        <v>5</v>
      </c>
      <c r="F32" s="20">
        <v>7</v>
      </c>
      <c r="G32" s="20"/>
      <c r="H32" s="20">
        <v>313.3333333333333</v>
      </c>
      <c r="I32" s="20">
        <v>296</v>
      </c>
      <c r="J32" s="20"/>
      <c r="K32" s="20">
        <v>820</v>
      </c>
      <c r="L32" s="20">
        <v>830</v>
      </c>
    </row>
    <row r="33" spans="1:12" ht="15.75">
      <c r="A33" s="18" t="s">
        <v>27</v>
      </c>
      <c r="B33" s="20">
        <v>1051</v>
      </c>
      <c r="C33" s="19">
        <v>1000</v>
      </c>
      <c r="D33" s="20"/>
      <c r="E33" s="20">
        <v>5.333333333333333</v>
      </c>
      <c r="F33" s="20">
        <v>6</v>
      </c>
      <c r="G33" s="20"/>
      <c r="H33" s="20">
        <v>361.3333333333333</v>
      </c>
      <c r="I33" s="20">
        <v>364</v>
      </c>
      <c r="J33" s="20"/>
      <c r="K33" s="20">
        <v>684.3333333333334</v>
      </c>
      <c r="L33" s="20">
        <v>630</v>
      </c>
    </row>
    <row r="34" spans="1:12" ht="15.75">
      <c r="A34" s="18" t="s">
        <v>28</v>
      </c>
      <c r="B34" s="20">
        <v>2000</v>
      </c>
      <c r="C34" s="19">
        <v>2126</v>
      </c>
      <c r="D34" s="20"/>
      <c r="E34" s="20">
        <v>9.666666666666666</v>
      </c>
      <c r="F34" s="20">
        <v>8</v>
      </c>
      <c r="G34" s="20"/>
      <c r="H34" s="20">
        <v>513.6666666666666</v>
      </c>
      <c r="I34" s="20">
        <v>511</v>
      </c>
      <c r="J34" s="20"/>
      <c r="K34" s="20">
        <v>1476.6666666666667</v>
      </c>
      <c r="L34" s="20">
        <v>1607</v>
      </c>
    </row>
    <row r="35" spans="1:12" ht="15.75">
      <c r="A35" s="18" t="s">
        <v>29</v>
      </c>
      <c r="B35" s="20">
        <v>1262.6666666666667</v>
      </c>
      <c r="C35" s="19">
        <v>1277</v>
      </c>
      <c r="D35" s="20"/>
      <c r="E35" s="20">
        <v>8.333333333333334</v>
      </c>
      <c r="F35" s="20">
        <v>6</v>
      </c>
      <c r="G35" s="20"/>
      <c r="H35" s="20">
        <v>347.3333333333333</v>
      </c>
      <c r="I35" s="20">
        <v>366</v>
      </c>
      <c r="J35" s="20"/>
      <c r="K35" s="20">
        <v>907</v>
      </c>
      <c r="L35" s="20">
        <v>905</v>
      </c>
    </row>
    <row r="36" spans="1:12" ht="15.75">
      <c r="A36" s="18" t="s">
        <v>30</v>
      </c>
      <c r="B36" s="20">
        <v>188.66666666666666</v>
      </c>
      <c r="C36" s="19">
        <v>169</v>
      </c>
      <c r="D36" s="20"/>
      <c r="E36" s="20">
        <v>0.6666666666666666</v>
      </c>
      <c r="F36" s="19">
        <v>0</v>
      </c>
      <c r="G36" s="20"/>
      <c r="H36" s="20">
        <v>31.666666666666668</v>
      </c>
      <c r="I36" s="20">
        <v>38</v>
      </c>
      <c r="J36" s="20"/>
      <c r="K36" s="20">
        <v>156.33333333333334</v>
      </c>
      <c r="L36" s="20">
        <v>131</v>
      </c>
    </row>
    <row r="37" spans="1:12" ht="15.75">
      <c r="A37" s="18" t="s">
        <v>31</v>
      </c>
      <c r="B37" s="20">
        <v>1137.6666666666667</v>
      </c>
      <c r="C37" s="19">
        <v>1177</v>
      </c>
      <c r="D37" s="20"/>
      <c r="E37" s="20">
        <v>5.666666666666667</v>
      </c>
      <c r="F37" s="20">
        <v>5</v>
      </c>
      <c r="G37" s="20"/>
      <c r="H37" s="20">
        <v>336.6666666666667</v>
      </c>
      <c r="I37" s="20">
        <v>306</v>
      </c>
      <c r="J37" s="20"/>
      <c r="K37" s="20">
        <v>795.3333333333334</v>
      </c>
      <c r="L37" s="20">
        <v>866</v>
      </c>
    </row>
    <row r="38" spans="1:12" ht="15.75">
      <c r="A38" s="18" t="s">
        <v>32</v>
      </c>
      <c r="B38" s="20">
        <v>2317.6666666666665</v>
      </c>
      <c r="C38" s="19">
        <v>2221</v>
      </c>
      <c r="D38" s="20"/>
      <c r="E38" s="20">
        <v>11.666666666666666</v>
      </c>
      <c r="F38" s="20">
        <v>8</v>
      </c>
      <c r="G38" s="20"/>
      <c r="H38" s="20">
        <v>735.6666666666666</v>
      </c>
      <c r="I38" s="20">
        <v>673</v>
      </c>
      <c r="J38" s="20"/>
      <c r="K38" s="20">
        <v>1570.3333333333333</v>
      </c>
      <c r="L38" s="20">
        <v>1540</v>
      </c>
    </row>
    <row r="39" spans="1:12" ht="15.75">
      <c r="A39" s="18" t="s">
        <v>33</v>
      </c>
      <c r="B39" s="20">
        <v>558.3333333333334</v>
      </c>
      <c r="C39" s="19">
        <v>517</v>
      </c>
      <c r="D39" s="20"/>
      <c r="E39" s="20">
        <v>4</v>
      </c>
      <c r="F39" s="20">
        <v>4</v>
      </c>
      <c r="G39" s="20"/>
      <c r="H39" s="20">
        <v>141.33333333333334</v>
      </c>
      <c r="I39" s="20">
        <v>109</v>
      </c>
      <c r="J39" s="20"/>
      <c r="K39" s="20">
        <v>413</v>
      </c>
      <c r="L39" s="20">
        <v>404</v>
      </c>
    </row>
    <row r="40" spans="1:12" ht="15.75">
      <c r="A40" s="18" t="s">
        <v>34</v>
      </c>
      <c r="B40" s="20">
        <v>1542</v>
      </c>
      <c r="C40" s="19">
        <v>1599</v>
      </c>
      <c r="D40" s="20"/>
      <c r="E40" s="20">
        <v>8.333333333333334</v>
      </c>
      <c r="F40" s="20">
        <v>11</v>
      </c>
      <c r="G40" s="20"/>
      <c r="H40" s="20">
        <v>378.6666666666667</v>
      </c>
      <c r="I40" s="20">
        <v>341</v>
      </c>
      <c r="J40" s="20"/>
      <c r="K40" s="20">
        <v>1155</v>
      </c>
      <c r="L40" s="20">
        <v>1247</v>
      </c>
    </row>
    <row r="41" spans="1:12" ht="15.75">
      <c r="A41" s="18" t="s">
        <v>35</v>
      </c>
      <c r="B41" s="20">
        <v>1541.6666666666667</v>
      </c>
      <c r="C41" s="19">
        <v>1536</v>
      </c>
      <c r="D41" s="20"/>
      <c r="E41" s="20">
        <v>8.666666666666666</v>
      </c>
      <c r="F41" s="20">
        <v>10</v>
      </c>
      <c r="G41" s="20"/>
      <c r="H41" s="20">
        <v>403.3333333333333</v>
      </c>
      <c r="I41" s="20">
        <v>389</v>
      </c>
      <c r="J41" s="20"/>
      <c r="K41" s="20">
        <v>1129.6666666666667</v>
      </c>
      <c r="L41" s="20">
        <v>1137</v>
      </c>
    </row>
    <row r="42" spans="1:12" ht="15.75">
      <c r="A42" s="18" t="s">
        <v>36</v>
      </c>
      <c r="B42" s="20">
        <v>15009.666666666666</v>
      </c>
      <c r="C42" s="19">
        <v>15435</v>
      </c>
      <c r="D42" s="20"/>
      <c r="E42" s="20">
        <v>31</v>
      </c>
      <c r="F42" s="20">
        <v>45</v>
      </c>
      <c r="G42" s="20"/>
      <c r="H42" s="20">
        <v>5140.333333333333</v>
      </c>
      <c r="I42" s="20">
        <v>5195</v>
      </c>
      <c r="J42" s="20"/>
      <c r="K42" s="20">
        <v>9838.333333333334</v>
      </c>
      <c r="L42" s="20">
        <v>10195</v>
      </c>
    </row>
    <row r="43" spans="1:12" ht="15.75">
      <c r="A43" s="18" t="s">
        <v>37</v>
      </c>
      <c r="B43" s="20">
        <v>1205.3333333333333</v>
      </c>
      <c r="C43" s="19">
        <v>1147</v>
      </c>
      <c r="D43" s="20"/>
      <c r="E43" s="20">
        <v>5.333333333333333</v>
      </c>
      <c r="F43" s="20">
        <v>3</v>
      </c>
      <c r="G43" s="20"/>
      <c r="H43" s="20">
        <v>327</v>
      </c>
      <c r="I43" s="20">
        <v>318</v>
      </c>
      <c r="J43" s="20"/>
      <c r="K43" s="20">
        <v>873</v>
      </c>
      <c r="L43" s="20">
        <v>826</v>
      </c>
    </row>
    <row r="44" spans="1:12" ht="15.75">
      <c r="A44" s="18" t="s">
        <v>38</v>
      </c>
      <c r="B44" s="20">
        <v>33017.333333333336</v>
      </c>
      <c r="C44" s="19">
        <v>33486</v>
      </c>
      <c r="D44" s="20"/>
      <c r="E44" s="20">
        <v>88.66666666666667</v>
      </c>
      <c r="F44" s="20">
        <v>98</v>
      </c>
      <c r="G44" s="20"/>
      <c r="H44" s="20">
        <v>13241</v>
      </c>
      <c r="I44" s="20">
        <v>13086</v>
      </c>
      <c r="J44" s="20"/>
      <c r="K44" s="20">
        <v>19687.666666666668</v>
      </c>
      <c r="L44" s="20">
        <v>20302</v>
      </c>
    </row>
    <row r="45" spans="1:12" ht="15.75">
      <c r="A45" s="18" t="s">
        <v>39</v>
      </c>
      <c r="B45" s="20">
        <v>3621.3333333333335</v>
      </c>
      <c r="C45" s="19">
        <v>3928</v>
      </c>
      <c r="D45" s="20"/>
      <c r="E45" s="20">
        <v>16.666666666666668</v>
      </c>
      <c r="F45" s="20">
        <v>17</v>
      </c>
      <c r="G45" s="20"/>
      <c r="H45" s="20">
        <v>1331</v>
      </c>
      <c r="I45" s="20">
        <v>1423</v>
      </c>
      <c r="J45" s="20"/>
      <c r="K45" s="20">
        <v>2273.6666666666665</v>
      </c>
      <c r="L45" s="20">
        <v>2488</v>
      </c>
    </row>
    <row r="46" spans="1:12" ht="15.75">
      <c r="A46" s="18" t="s">
        <v>40</v>
      </c>
      <c r="B46" s="20">
        <v>4924.666666666667</v>
      </c>
      <c r="C46" s="19">
        <v>4523</v>
      </c>
      <c r="D46" s="20"/>
      <c r="E46" s="20">
        <v>17</v>
      </c>
      <c r="F46" s="20">
        <v>25</v>
      </c>
      <c r="G46" s="20"/>
      <c r="H46" s="20">
        <v>1499.3333333333333</v>
      </c>
      <c r="I46" s="20">
        <v>1405</v>
      </c>
      <c r="J46" s="20"/>
      <c r="K46" s="20">
        <v>3408.3333333333335</v>
      </c>
      <c r="L46" s="20">
        <v>3093</v>
      </c>
    </row>
    <row r="47" spans="1:12" ht="15.75">
      <c r="A47" s="18" t="s">
        <v>41</v>
      </c>
      <c r="B47" s="20">
        <v>10435.666666666666</v>
      </c>
      <c r="C47" s="19">
        <v>10275</v>
      </c>
      <c r="D47" s="20"/>
      <c r="E47" s="20">
        <v>31.666666666666668</v>
      </c>
      <c r="F47" s="20">
        <v>35</v>
      </c>
      <c r="G47" s="20"/>
      <c r="H47" s="20">
        <v>3371</v>
      </c>
      <c r="I47" s="20">
        <v>3298</v>
      </c>
      <c r="J47" s="20"/>
      <c r="K47" s="20">
        <v>7033</v>
      </c>
      <c r="L47" s="20">
        <v>6942</v>
      </c>
    </row>
    <row r="48" spans="1:12" ht="15.75">
      <c r="A48" s="18" t="s">
        <v>42</v>
      </c>
      <c r="B48" s="20">
        <v>2387.6666666666665</v>
      </c>
      <c r="C48" s="19">
        <v>2580</v>
      </c>
      <c r="D48" s="20"/>
      <c r="E48" s="20">
        <v>11.333333333333334</v>
      </c>
      <c r="F48" s="20">
        <v>7</v>
      </c>
      <c r="G48" s="20"/>
      <c r="H48" s="20">
        <v>694.6666666666666</v>
      </c>
      <c r="I48" s="20">
        <v>751</v>
      </c>
      <c r="J48" s="20"/>
      <c r="K48" s="20">
        <v>1681.6666666666667</v>
      </c>
      <c r="L48" s="20">
        <v>1822</v>
      </c>
    </row>
    <row r="49" spans="1:12" ht="15.75">
      <c r="A49" s="18" t="s">
        <v>43</v>
      </c>
      <c r="B49" s="20">
        <v>10128.666666666666</v>
      </c>
      <c r="C49" s="19">
        <v>9951</v>
      </c>
      <c r="D49" s="20"/>
      <c r="E49" s="20">
        <v>37.666666666666664</v>
      </c>
      <c r="F49" s="20">
        <v>35</v>
      </c>
      <c r="G49" s="20"/>
      <c r="H49" s="20">
        <v>3187.3333333333335</v>
      </c>
      <c r="I49" s="20">
        <v>3039</v>
      </c>
      <c r="J49" s="20"/>
      <c r="K49" s="20">
        <v>6903.666666666667</v>
      </c>
      <c r="L49" s="20">
        <v>6877</v>
      </c>
    </row>
    <row r="50" spans="1:12" ht="15.75">
      <c r="A50" s="18" t="s">
        <v>44</v>
      </c>
      <c r="B50" s="20">
        <v>750.6666666666666</v>
      </c>
      <c r="C50" s="19">
        <v>940</v>
      </c>
      <c r="D50" s="20"/>
      <c r="E50" s="20">
        <v>6.333333333333333</v>
      </c>
      <c r="F50" s="20">
        <v>3</v>
      </c>
      <c r="G50" s="20"/>
      <c r="H50" s="20">
        <v>213</v>
      </c>
      <c r="I50" s="20">
        <v>235</v>
      </c>
      <c r="J50" s="20"/>
      <c r="K50" s="20">
        <v>531.3333333333334</v>
      </c>
      <c r="L50" s="20">
        <v>702</v>
      </c>
    </row>
    <row r="51" spans="1:12" ht="15.75">
      <c r="A51" s="18" t="s">
        <v>45</v>
      </c>
      <c r="B51" s="20">
        <v>2162.3333333333335</v>
      </c>
      <c r="C51" s="19">
        <v>2072</v>
      </c>
      <c r="D51" s="20"/>
      <c r="E51" s="20">
        <v>12.666666666666666</v>
      </c>
      <c r="F51" s="20">
        <v>13</v>
      </c>
      <c r="G51" s="20"/>
      <c r="H51" s="20">
        <v>688</v>
      </c>
      <c r="I51" s="20">
        <v>615</v>
      </c>
      <c r="J51" s="20"/>
      <c r="K51" s="20">
        <v>1461.6666666666667</v>
      </c>
      <c r="L51" s="20">
        <v>1444</v>
      </c>
    </row>
    <row r="52" spans="1:12" ht="15.75">
      <c r="A52" s="18" t="s">
        <v>46</v>
      </c>
      <c r="B52" s="20">
        <v>1566.6666666666667</v>
      </c>
      <c r="C52" s="19">
        <v>1540</v>
      </c>
      <c r="D52" s="20"/>
      <c r="E52" s="20">
        <v>8.333333333333334</v>
      </c>
      <c r="F52" s="20">
        <v>6</v>
      </c>
      <c r="G52" s="20"/>
      <c r="H52" s="20">
        <v>398.3333333333333</v>
      </c>
      <c r="I52" s="20">
        <v>357</v>
      </c>
      <c r="J52" s="20"/>
      <c r="K52" s="20">
        <v>1160</v>
      </c>
      <c r="L52" s="20">
        <v>1177</v>
      </c>
    </row>
    <row r="53" spans="1:12" ht="15.75">
      <c r="A53" s="18" t="s">
        <v>47</v>
      </c>
      <c r="B53" s="20">
        <v>2595</v>
      </c>
      <c r="C53" s="19">
        <v>2408</v>
      </c>
      <c r="D53" s="20"/>
      <c r="E53" s="20">
        <v>11.666666666666666</v>
      </c>
      <c r="F53" s="20">
        <v>3</v>
      </c>
      <c r="G53" s="20"/>
      <c r="H53" s="20">
        <v>778.3333333333334</v>
      </c>
      <c r="I53" s="20">
        <v>712</v>
      </c>
      <c r="J53" s="20"/>
      <c r="K53" s="20">
        <v>1805</v>
      </c>
      <c r="L53" s="20">
        <v>1693</v>
      </c>
    </row>
    <row r="54" spans="1:12" ht="15.75">
      <c r="A54" s="18" t="s">
        <v>48</v>
      </c>
      <c r="B54" s="20">
        <v>2783.3333333333335</v>
      </c>
      <c r="C54" s="19">
        <v>2846</v>
      </c>
      <c r="D54" s="20"/>
      <c r="E54" s="20">
        <v>10</v>
      </c>
      <c r="F54" s="20">
        <v>16</v>
      </c>
      <c r="G54" s="20"/>
      <c r="H54" s="20">
        <v>960.3333333333334</v>
      </c>
      <c r="I54" s="20">
        <v>909</v>
      </c>
      <c r="J54" s="20"/>
      <c r="K54" s="20">
        <v>1813</v>
      </c>
      <c r="L54" s="20">
        <v>1921</v>
      </c>
    </row>
    <row r="55" spans="1:12" ht="15.75">
      <c r="A55" s="18" t="s">
        <v>49</v>
      </c>
      <c r="B55" s="20">
        <v>6326.666666666667</v>
      </c>
      <c r="C55" s="19">
        <v>6410</v>
      </c>
      <c r="D55" s="20"/>
      <c r="E55" s="20">
        <v>12.666666666666666</v>
      </c>
      <c r="F55" s="20">
        <v>18</v>
      </c>
      <c r="G55" s="20"/>
      <c r="H55" s="20">
        <v>2328.6666666666665</v>
      </c>
      <c r="I55" s="20">
        <v>2300</v>
      </c>
      <c r="J55" s="20"/>
      <c r="K55" s="20">
        <v>3985.3333333333335</v>
      </c>
      <c r="L55" s="20">
        <v>4092</v>
      </c>
    </row>
    <row r="56" spans="1:12" ht="15.75">
      <c r="A56" s="18" t="s">
        <v>50</v>
      </c>
      <c r="B56" s="20">
        <v>2528.3333333333335</v>
      </c>
      <c r="C56" s="19">
        <v>2440</v>
      </c>
      <c r="D56" s="20"/>
      <c r="E56" s="20">
        <v>13.666666666666666</v>
      </c>
      <c r="F56" s="20">
        <v>9</v>
      </c>
      <c r="G56" s="20"/>
      <c r="H56" s="20">
        <v>571.6666666666666</v>
      </c>
      <c r="I56" s="20">
        <v>521</v>
      </c>
      <c r="J56" s="20"/>
      <c r="K56" s="20">
        <v>1943</v>
      </c>
      <c r="L56" s="20">
        <v>1910</v>
      </c>
    </row>
    <row r="57" spans="1:12" ht="15.75">
      <c r="A57" s="18" t="s">
        <v>51</v>
      </c>
      <c r="B57" s="20">
        <v>4456</v>
      </c>
      <c r="C57" s="19">
        <v>4594</v>
      </c>
      <c r="D57" s="20"/>
      <c r="E57" s="20">
        <v>16.666666666666668</v>
      </c>
      <c r="F57" s="20">
        <v>17</v>
      </c>
      <c r="G57" s="20"/>
      <c r="H57" s="20">
        <v>1202.6666666666667</v>
      </c>
      <c r="I57" s="20">
        <v>1180</v>
      </c>
      <c r="J57" s="20"/>
      <c r="K57" s="20">
        <v>3236.6666666666665</v>
      </c>
      <c r="L57" s="20">
        <v>3397</v>
      </c>
    </row>
    <row r="58" spans="1:12" ht="15.75">
      <c r="A58" s="18" t="s">
        <v>52</v>
      </c>
      <c r="B58" s="20">
        <v>3378.3333333333335</v>
      </c>
      <c r="C58" s="19">
        <v>3351</v>
      </c>
      <c r="D58" s="20"/>
      <c r="E58" s="20">
        <v>5.333333333333333</v>
      </c>
      <c r="F58" s="20">
        <v>5</v>
      </c>
      <c r="G58" s="20"/>
      <c r="H58" s="20">
        <v>1066.3333333333333</v>
      </c>
      <c r="I58" s="20">
        <v>1047</v>
      </c>
      <c r="J58" s="20"/>
      <c r="K58" s="20">
        <v>2306.6666666666665</v>
      </c>
      <c r="L58" s="20">
        <v>2299</v>
      </c>
    </row>
    <row r="59" spans="1:12" ht="15.75">
      <c r="A59" s="18" t="s">
        <v>53</v>
      </c>
      <c r="B59" s="20">
        <v>709.3333333333334</v>
      </c>
      <c r="C59" s="19">
        <v>726</v>
      </c>
      <c r="D59" s="20"/>
      <c r="E59" s="20">
        <v>1</v>
      </c>
      <c r="F59" s="20">
        <v>3</v>
      </c>
      <c r="G59" s="20"/>
      <c r="H59" s="20">
        <v>203</v>
      </c>
      <c r="I59" s="20">
        <v>199</v>
      </c>
      <c r="J59" s="20"/>
      <c r="K59" s="20">
        <v>505.3333333333333</v>
      </c>
      <c r="L59" s="20">
        <v>524</v>
      </c>
    </row>
    <row r="60" spans="1:12" ht="15.75">
      <c r="A60" s="18" t="s">
        <v>54</v>
      </c>
      <c r="B60" s="20">
        <v>538</v>
      </c>
      <c r="C60" s="19">
        <v>524</v>
      </c>
      <c r="D60" s="20"/>
      <c r="E60" s="20">
        <v>1.3333333333333333</v>
      </c>
      <c r="F60" s="19">
        <v>0</v>
      </c>
      <c r="G60" s="20"/>
      <c r="H60" s="20">
        <v>127.66666666666667</v>
      </c>
      <c r="I60" s="20">
        <v>100</v>
      </c>
      <c r="J60" s="20"/>
      <c r="K60" s="20">
        <v>409</v>
      </c>
      <c r="L60" s="20">
        <v>424</v>
      </c>
    </row>
    <row r="61" spans="1:12" ht="15.75">
      <c r="A61" s="18" t="s">
        <v>55</v>
      </c>
      <c r="B61" s="20">
        <v>749.3333333333334</v>
      </c>
      <c r="C61" s="19">
        <v>828</v>
      </c>
      <c r="D61" s="20"/>
      <c r="E61" s="20">
        <v>6</v>
      </c>
      <c r="F61" s="20">
        <v>5</v>
      </c>
      <c r="G61" s="20"/>
      <c r="H61" s="20">
        <v>227</v>
      </c>
      <c r="I61" s="20">
        <v>242</v>
      </c>
      <c r="J61" s="20"/>
      <c r="K61" s="20">
        <v>516.3333333333334</v>
      </c>
      <c r="L61" s="20">
        <v>581</v>
      </c>
    </row>
    <row r="62" spans="1:12" ht="15.75">
      <c r="A62" s="18" t="s">
        <v>56</v>
      </c>
      <c r="B62" s="20">
        <v>2134.6666666666665</v>
      </c>
      <c r="C62" s="19">
        <v>2003</v>
      </c>
      <c r="D62" s="20"/>
      <c r="E62" s="20">
        <v>11.333333333333334</v>
      </c>
      <c r="F62" s="20">
        <v>9</v>
      </c>
      <c r="G62" s="20"/>
      <c r="H62" s="20">
        <v>566.3333333333334</v>
      </c>
      <c r="I62" s="20">
        <v>515</v>
      </c>
      <c r="J62" s="20"/>
      <c r="K62" s="20">
        <v>1557</v>
      </c>
      <c r="L62" s="20">
        <v>1479</v>
      </c>
    </row>
    <row r="63" spans="1:12" ht="15.75">
      <c r="A63" s="18" t="s">
        <v>57</v>
      </c>
      <c r="B63" s="20">
        <v>31391.333333333332</v>
      </c>
      <c r="C63" s="19">
        <v>27428</v>
      </c>
      <c r="D63" s="20"/>
      <c r="E63" s="20">
        <v>149.33333333333334</v>
      </c>
      <c r="F63" s="20">
        <v>130</v>
      </c>
      <c r="G63" s="20"/>
      <c r="H63" s="20">
        <v>13560.666666666666</v>
      </c>
      <c r="I63" s="20">
        <v>11436</v>
      </c>
      <c r="J63" s="20"/>
      <c r="K63" s="20">
        <v>17681.333333333332</v>
      </c>
      <c r="L63" s="20">
        <v>15862</v>
      </c>
    </row>
    <row r="64" spans="1:12" ht="15.75">
      <c r="A64" s="18" t="s">
        <v>58</v>
      </c>
      <c r="B64" s="20">
        <v>2052.6666666666665</v>
      </c>
      <c r="C64" s="19">
        <v>1902</v>
      </c>
      <c r="D64" s="20"/>
      <c r="E64" s="20">
        <v>11</v>
      </c>
      <c r="F64" s="20">
        <v>9</v>
      </c>
      <c r="G64" s="20"/>
      <c r="H64" s="20">
        <v>641.6666666666666</v>
      </c>
      <c r="I64" s="20">
        <v>555</v>
      </c>
      <c r="J64" s="20"/>
      <c r="K64" s="20">
        <v>1400</v>
      </c>
      <c r="L64" s="20">
        <v>1338</v>
      </c>
    </row>
    <row r="65" spans="1:12" ht="15.75">
      <c r="A65" s="18" t="s">
        <v>59</v>
      </c>
      <c r="B65" s="20">
        <v>936.6666666666666</v>
      </c>
      <c r="C65" s="19">
        <v>851</v>
      </c>
      <c r="D65" s="20"/>
      <c r="E65" s="20">
        <v>5</v>
      </c>
      <c r="F65" s="20">
        <v>5</v>
      </c>
      <c r="G65" s="20"/>
      <c r="H65" s="20">
        <v>268.3333333333333</v>
      </c>
      <c r="I65" s="20">
        <v>241</v>
      </c>
      <c r="J65" s="20"/>
      <c r="K65" s="20">
        <v>663.3333333333334</v>
      </c>
      <c r="L65" s="20">
        <v>605</v>
      </c>
    </row>
    <row r="66" spans="1:12" ht="15.75">
      <c r="A66" s="18" t="s">
        <v>60</v>
      </c>
      <c r="B66" s="20">
        <v>2424.6666666666665</v>
      </c>
      <c r="C66" s="19">
        <v>2488</v>
      </c>
      <c r="D66" s="20"/>
      <c r="E66" s="20">
        <v>7.666666666666667</v>
      </c>
      <c r="F66" s="20">
        <v>11</v>
      </c>
      <c r="G66" s="20"/>
      <c r="H66" s="20">
        <v>596.3333333333334</v>
      </c>
      <c r="I66" s="20">
        <v>566</v>
      </c>
      <c r="J66" s="20"/>
      <c r="K66" s="20">
        <v>1820.6666666666667</v>
      </c>
      <c r="L66" s="20">
        <v>1911</v>
      </c>
    </row>
    <row r="67" spans="1:12" ht="15.75">
      <c r="A67" s="18" t="s">
        <v>61</v>
      </c>
      <c r="B67" s="20">
        <v>4584</v>
      </c>
      <c r="C67" s="19">
        <v>4696</v>
      </c>
      <c r="D67" s="20"/>
      <c r="E67" s="20">
        <v>23.666666666666668</v>
      </c>
      <c r="F67" s="20">
        <v>20</v>
      </c>
      <c r="G67" s="20"/>
      <c r="H67" s="20">
        <v>1519.3333333333333</v>
      </c>
      <c r="I67" s="20">
        <v>1446</v>
      </c>
      <c r="J67" s="20"/>
      <c r="K67" s="20">
        <v>3041</v>
      </c>
      <c r="L67" s="20">
        <v>3230</v>
      </c>
    </row>
    <row r="68" spans="1:12" ht="15.75">
      <c r="A68" s="18" t="s">
        <v>62</v>
      </c>
      <c r="B68" s="20">
        <v>1757</v>
      </c>
      <c r="C68" s="19">
        <v>1709</v>
      </c>
      <c r="D68" s="20"/>
      <c r="E68" s="20">
        <v>8.333333333333334</v>
      </c>
      <c r="F68" s="20">
        <v>5</v>
      </c>
      <c r="G68" s="20"/>
      <c r="H68" s="20">
        <v>535</v>
      </c>
      <c r="I68" s="20">
        <v>512</v>
      </c>
      <c r="J68" s="20"/>
      <c r="K68" s="20">
        <v>1213.6666666666667</v>
      </c>
      <c r="L68" s="20">
        <v>1192</v>
      </c>
    </row>
    <row r="69" spans="1:12" ht="15.75">
      <c r="A69" s="18" t="s">
        <v>63</v>
      </c>
      <c r="B69" s="20">
        <v>1103</v>
      </c>
      <c r="C69" s="19">
        <v>1094</v>
      </c>
      <c r="D69" s="20"/>
      <c r="E69" s="20">
        <v>7.666666666666667</v>
      </c>
      <c r="F69" s="20">
        <v>9</v>
      </c>
      <c r="G69" s="20"/>
      <c r="H69" s="20">
        <v>366.6666666666667</v>
      </c>
      <c r="I69" s="20">
        <v>369</v>
      </c>
      <c r="J69" s="20"/>
      <c r="K69" s="20">
        <v>728.6666666666666</v>
      </c>
      <c r="L69" s="20">
        <v>716</v>
      </c>
    </row>
    <row r="70" spans="1:12" ht="15.75">
      <c r="A70" s="18" t="s">
        <v>64</v>
      </c>
      <c r="B70" s="20">
        <v>1787</v>
      </c>
      <c r="C70" s="19">
        <v>1781</v>
      </c>
      <c r="D70" s="20"/>
      <c r="E70" s="20">
        <v>8.666666666666666</v>
      </c>
      <c r="F70" s="20">
        <v>8</v>
      </c>
      <c r="G70" s="20"/>
      <c r="H70" s="20">
        <v>470.6666666666667</v>
      </c>
      <c r="I70" s="18">
        <v>467</v>
      </c>
      <c r="J70" s="20"/>
      <c r="K70" s="20">
        <v>1307.6666666666667</v>
      </c>
      <c r="L70" s="20">
        <v>1306</v>
      </c>
    </row>
    <row r="71" spans="1:12" ht="15.75">
      <c r="A71" s="1" t="s">
        <v>65</v>
      </c>
      <c r="B71" s="8">
        <v>15903</v>
      </c>
      <c r="C71" s="7">
        <v>15273</v>
      </c>
      <c r="D71" s="8"/>
      <c r="E71" s="8">
        <v>40</v>
      </c>
      <c r="F71" s="8">
        <v>34</v>
      </c>
      <c r="G71" s="8"/>
      <c r="H71" s="8">
        <v>6125.333333333333</v>
      </c>
      <c r="I71" s="8">
        <v>5806</v>
      </c>
      <c r="J71" s="8"/>
      <c r="K71" s="8">
        <v>9737.666666666666</v>
      </c>
      <c r="L71" s="8">
        <v>9433</v>
      </c>
    </row>
    <row r="72" spans="1:12" ht="15.75">
      <c r="A72" s="1" t="s">
        <v>66</v>
      </c>
      <c r="B72" s="8">
        <v>1131</v>
      </c>
      <c r="C72" s="7">
        <v>1076</v>
      </c>
      <c r="D72" s="8"/>
      <c r="E72" s="8">
        <v>5.333333333333333</v>
      </c>
      <c r="F72" s="8">
        <v>6</v>
      </c>
      <c r="G72" s="8"/>
      <c r="H72" s="8">
        <v>247</v>
      </c>
      <c r="I72" s="8">
        <v>243</v>
      </c>
      <c r="J72" s="8"/>
      <c r="K72" s="8">
        <v>878.6666666666666</v>
      </c>
      <c r="L72" s="8">
        <v>827</v>
      </c>
    </row>
    <row r="73" spans="1:12" ht="15.75">
      <c r="A73" s="1" t="s">
        <v>67</v>
      </c>
      <c r="B73" s="8">
        <v>490.3333333333333</v>
      </c>
      <c r="C73" s="7">
        <v>518</v>
      </c>
      <c r="D73" s="8"/>
      <c r="E73" s="8">
        <v>2.6666666666666665</v>
      </c>
      <c r="F73" s="7">
        <v>3</v>
      </c>
      <c r="G73" s="8"/>
      <c r="H73" s="8">
        <v>128.33333333333334</v>
      </c>
      <c r="I73" s="8">
        <v>104</v>
      </c>
      <c r="J73" s="8"/>
      <c r="K73" s="8">
        <v>359.3333333333333</v>
      </c>
      <c r="L73" s="8">
        <v>411</v>
      </c>
    </row>
    <row r="74" spans="1:12" ht="15.75">
      <c r="A74" s="1"/>
      <c r="B74" s="8"/>
      <c r="C74" s="7"/>
      <c r="D74" s="8"/>
      <c r="E74" s="8"/>
      <c r="F74" s="7"/>
      <c r="G74" s="8"/>
      <c r="H74" s="8"/>
      <c r="I74" s="8"/>
      <c r="J74" s="8"/>
      <c r="K74" s="8"/>
      <c r="L74" s="8"/>
    </row>
    <row r="75" spans="1:12" ht="15.75">
      <c r="A75" s="1" t="s">
        <v>71</v>
      </c>
      <c r="B75" s="8">
        <v>1057.3333333333333</v>
      </c>
      <c r="C75" s="7">
        <v>1425</v>
      </c>
      <c r="D75" s="8"/>
      <c r="E75" s="7">
        <v>0</v>
      </c>
      <c r="F75" s="7">
        <v>0</v>
      </c>
      <c r="G75" s="8"/>
      <c r="H75" s="8">
        <v>242.66666666666666</v>
      </c>
      <c r="I75" s="8">
        <v>353</v>
      </c>
      <c r="J75" s="8"/>
      <c r="K75" s="8">
        <v>814.6666666666666</v>
      </c>
      <c r="L75" s="8">
        <v>1072</v>
      </c>
    </row>
    <row r="76" spans="1:12" ht="15.75">
      <c r="A76" s="3"/>
      <c r="B76" s="14"/>
      <c r="C76" s="15" t="s">
        <v>72</v>
      </c>
      <c r="D76" s="14"/>
      <c r="E76" s="14"/>
      <c r="F76" s="14"/>
      <c r="G76" s="14"/>
      <c r="H76" s="14"/>
      <c r="I76" s="14"/>
      <c r="J76" s="14"/>
      <c r="K76" s="14"/>
      <c r="L76" s="14"/>
    </row>
    <row r="77" spans="1:12" ht="46.5" customHeight="1">
      <c r="A77" s="28" t="s">
        <v>76</v>
      </c>
      <c r="B77" s="28"/>
      <c r="C77" s="28"/>
      <c r="D77" s="28"/>
      <c r="E77" s="28"/>
      <c r="F77" s="28"/>
      <c r="G77" s="28"/>
      <c r="H77" s="28"/>
      <c r="I77" s="28"/>
      <c r="J77" s="28"/>
      <c r="K77" s="28"/>
      <c r="L77" s="28"/>
    </row>
    <row r="78" spans="1:12" ht="15.75">
      <c r="A78" s="1"/>
      <c r="B78" s="8"/>
      <c r="C78" s="7"/>
      <c r="D78" s="8"/>
      <c r="E78" s="8"/>
      <c r="F78" s="8"/>
      <c r="G78" s="8"/>
      <c r="H78" s="8"/>
      <c r="I78" s="8"/>
      <c r="J78" s="8"/>
      <c r="K78" s="8"/>
      <c r="L78" s="8"/>
    </row>
    <row r="79" spans="1:12" ht="33" customHeight="1">
      <c r="A79" s="28" t="s">
        <v>77</v>
      </c>
      <c r="B79" s="28"/>
      <c r="C79" s="28"/>
      <c r="D79" s="28"/>
      <c r="E79" s="28"/>
      <c r="F79" s="28"/>
      <c r="G79" s="28"/>
      <c r="H79" s="28"/>
      <c r="I79" s="28"/>
      <c r="J79" s="28"/>
      <c r="K79" s="28"/>
      <c r="L79" s="28"/>
    </row>
    <row r="80" spans="1:12" ht="50.25" customHeight="1">
      <c r="A80" s="29" t="s">
        <v>78</v>
      </c>
      <c r="B80" s="29"/>
      <c r="C80" s="29"/>
      <c r="D80" s="29"/>
      <c r="E80" s="29"/>
      <c r="F80" s="29"/>
      <c r="G80" s="29"/>
      <c r="H80" s="29"/>
      <c r="I80" s="29"/>
      <c r="J80" s="29"/>
      <c r="K80" s="29"/>
      <c r="L80" s="29"/>
    </row>
    <row r="81" spans="1:12" ht="46.5" customHeight="1">
      <c r="A81" s="28" t="s">
        <v>79</v>
      </c>
      <c r="B81" s="28"/>
      <c r="C81" s="28"/>
      <c r="D81" s="28"/>
      <c r="E81" s="28"/>
      <c r="F81" s="28"/>
      <c r="G81" s="28"/>
      <c r="H81" s="28"/>
      <c r="I81" s="28"/>
      <c r="J81" s="28"/>
      <c r="K81" s="28"/>
      <c r="L81" s="28"/>
    </row>
    <row r="82" spans="1:12" ht="15.75">
      <c r="A82" s="1"/>
      <c r="B82" s="16"/>
      <c r="C82" s="1"/>
      <c r="D82" s="1"/>
      <c r="E82" s="1"/>
      <c r="F82" s="1"/>
      <c r="G82" s="1"/>
      <c r="H82" s="1"/>
      <c r="I82" s="1"/>
      <c r="J82" s="1"/>
      <c r="K82" s="1"/>
      <c r="L82" s="1"/>
    </row>
    <row r="83" spans="1:12" ht="15.75">
      <c r="A83" s="1" t="s">
        <v>68</v>
      </c>
      <c r="B83" s="1"/>
      <c r="C83" s="2"/>
      <c r="D83" s="1"/>
      <c r="E83" s="1"/>
      <c r="F83" s="1"/>
      <c r="G83" s="1"/>
      <c r="H83" s="1"/>
      <c r="I83" s="1"/>
      <c r="J83" s="1"/>
      <c r="K83" s="1"/>
      <c r="L83" s="1"/>
    </row>
    <row r="84" spans="1:12" ht="15.75">
      <c r="A84" s="1"/>
      <c r="B84" s="8"/>
      <c r="C84" s="7"/>
      <c r="D84" s="8"/>
      <c r="E84" s="8"/>
      <c r="F84" s="8"/>
      <c r="G84" s="8"/>
      <c r="H84" s="8"/>
      <c r="I84" s="8"/>
      <c r="J84" s="8"/>
      <c r="K84" s="8"/>
      <c r="L84" s="8"/>
    </row>
  </sheetData>
  <sheetProtection/>
  <mergeCells count="8">
    <mergeCell ref="A80:L80"/>
    <mergeCell ref="A81:L81"/>
    <mergeCell ref="B4:C4"/>
    <mergeCell ref="E4:F4"/>
    <mergeCell ref="H4:I4"/>
    <mergeCell ref="K4:L4"/>
    <mergeCell ref="A77:L77"/>
    <mergeCell ref="A79:L79"/>
  </mergeCells>
  <printOptions/>
  <pageMargins left="0.7" right="0.7" top="0.75" bottom="0.75" header="0.3" footer="0.3"/>
  <pageSetup fitToHeight="2" fitToWidth="1" horizontalDpi="1200" verticalDpi="12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83"/>
  <sheetViews>
    <sheetView zoomScalePageLayoutView="0" workbookViewId="0" topLeftCell="A1">
      <selection activeCell="A1" sqref="A1"/>
    </sheetView>
  </sheetViews>
  <sheetFormatPr defaultColWidth="10.77734375" defaultRowHeight="15.75"/>
  <cols>
    <col min="1" max="1" width="25.77734375" style="0" customWidth="1"/>
    <col min="2" max="3" width="10.77734375" style="0" customWidth="1"/>
    <col min="4" max="4" width="3.77734375" style="0" customWidth="1"/>
    <col min="5" max="6" width="10.77734375" style="0" customWidth="1"/>
    <col min="7" max="7" width="3.77734375" style="0" customWidth="1"/>
    <col min="8" max="9" width="10.77734375" style="0" customWidth="1"/>
    <col min="10" max="10" width="3.77734375" style="0" customWidth="1"/>
  </cols>
  <sheetData>
    <row r="1" spans="1:12" ht="20.25">
      <c r="A1" s="12" t="s">
        <v>0</v>
      </c>
      <c r="B1" s="1"/>
      <c r="C1" s="2"/>
      <c r="D1" s="1"/>
      <c r="E1" s="1"/>
      <c r="F1" s="1"/>
      <c r="G1" s="1"/>
      <c r="H1" s="1"/>
      <c r="I1" s="1"/>
      <c r="J1" s="1"/>
      <c r="K1" s="1"/>
      <c r="L1" s="1"/>
    </row>
    <row r="2" spans="1:12" ht="20.25">
      <c r="A2" s="12" t="s">
        <v>85</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74</v>
      </c>
      <c r="C4" s="30"/>
      <c r="D4" s="3"/>
      <c r="E4" s="30" t="s">
        <v>69</v>
      </c>
      <c r="F4" s="30"/>
      <c r="G4" s="3"/>
      <c r="H4" s="30" t="s">
        <v>70</v>
      </c>
      <c r="I4" s="30"/>
      <c r="J4" s="3"/>
      <c r="K4" s="30" t="s">
        <v>75</v>
      </c>
      <c r="L4" s="30"/>
    </row>
    <row r="5" spans="1:12" ht="29.25">
      <c r="A5" s="4" t="s">
        <v>1</v>
      </c>
      <c r="B5" s="17" t="s">
        <v>86</v>
      </c>
      <c r="C5" s="5">
        <v>2009</v>
      </c>
      <c r="D5" s="4"/>
      <c r="E5" s="17" t="s">
        <v>86</v>
      </c>
      <c r="F5" s="5">
        <v>2009</v>
      </c>
      <c r="G5" s="4"/>
      <c r="H5" s="17" t="s">
        <v>86</v>
      </c>
      <c r="I5" s="5">
        <v>2009</v>
      </c>
      <c r="J5" s="4"/>
      <c r="K5" s="17" t="s">
        <v>86</v>
      </c>
      <c r="L5" s="5">
        <v>2009</v>
      </c>
    </row>
    <row r="6" spans="1:12" ht="15.75">
      <c r="A6" s="1"/>
      <c r="B6" s="1"/>
      <c r="C6" s="2"/>
      <c r="D6" s="1"/>
      <c r="E6" s="1"/>
      <c r="F6" s="1"/>
      <c r="G6" s="1"/>
      <c r="H6" s="6"/>
      <c r="I6" s="1"/>
      <c r="J6" s="1"/>
      <c r="K6" s="1"/>
      <c r="L6" s="1"/>
    </row>
    <row r="7" spans="1:12" ht="15.75">
      <c r="A7" s="18" t="s">
        <v>2</v>
      </c>
      <c r="B7" s="19">
        <v>285651.66666666674</v>
      </c>
      <c r="C7" s="19">
        <v>296277</v>
      </c>
      <c r="D7" s="20" t="s">
        <v>3</v>
      </c>
      <c r="E7" s="20">
        <v>1180.6666666666667</v>
      </c>
      <c r="F7" s="20">
        <v>1021</v>
      </c>
      <c r="G7" s="20"/>
      <c r="H7" s="20">
        <v>130559.99999999999</v>
      </c>
      <c r="I7" s="20">
        <v>127144</v>
      </c>
      <c r="J7" s="20"/>
      <c r="K7" s="20">
        <v>153910.6666666667</v>
      </c>
      <c r="L7" s="20">
        <v>168112</v>
      </c>
    </row>
    <row r="8" spans="1:12" ht="15.75">
      <c r="A8" s="18"/>
      <c r="B8" s="20"/>
      <c r="C8" s="19"/>
      <c r="D8" s="20"/>
      <c r="E8" s="20"/>
      <c r="F8" s="20"/>
      <c r="G8" s="20" t="s">
        <v>3</v>
      </c>
      <c r="H8" s="20"/>
      <c r="I8" s="20"/>
      <c r="J8" s="20" t="s">
        <v>3</v>
      </c>
      <c r="K8" s="20"/>
      <c r="L8" s="20"/>
    </row>
    <row r="9" spans="1:12" ht="15.75">
      <c r="A9" s="18" t="s">
        <v>4</v>
      </c>
      <c r="B9" s="19">
        <v>76970</v>
      </c>
      <c r="C9" s="19">
        <v>75539</v>
      </c>
      <c r="D9" s="20" t="s">
        <v>3</v>
      </c>
      <c r="E9" s="20">
        <v>280.66666666666663</v>
      </c>
      <c r="F9" s="20">
        <v>256</v>
      </c>
      <c r="G9" s="20"/>
      <c r="H9" s="20">
        <v>52295</v>
      </c>
      <c r="I9" s="20">
        <v>51234</v>
      </c>
      <c r="J9" s="20"/>
      <c r="K9" s="20">
        <v>24394.333333333336</v>
      </c>
      <c r="L9" s="20">
        <v>24049</v>
      </c>
    </row>
    <row r="10" spans="1:12" ht="15.75">
      <c r="A10" s="18" t="s">
        <v>5</v>
      </c>
      <c r="B10" s="20">
        <v>12038.333333333334</v>
      </c>
      <c r="C10" s="19">
        <v>12367</v>
      </c>
      <c r="D10" s="20"/>
      <c r="E10" s="20">
        <v>37</v>
      </c>
      <c r="F10" s="20">
        <v>43</v>
      </c>
      <c r="G10" s="20"/>
      <c r="H10" s="20">
        <v>8459.666666666666</v>
      </c>
      <c r="I10" s="20">
        <v>8789</v>
      </c>
      <c r="J10" s="20"/>
      <c r="K10" s="20">
        <v>3541.6666666666665</v>
      </c>
      <c r="L10" s="20">
        <v>3535</v>
      </c>
    </row>
    <row r="11" spans="1:12" ht="15.75">
      <c r="A11" s="18" t="s">
        <v>6</v>
      </c>
      <c r="B11" s="20">
        <v>22434.333333333332</v>
      </c>
      <c r="C11" s="19">
        <v>23146</v>
      </c>
      <c r="D11" s="20"/>
      <c r="E11" s="20">
        <v>90.33333333333333</v>
      </c>
      <c r="F11" s="20">
        <v>66</v>
      </c>
      <c r="G11" s="20"/>
      <c r="H11" s="20">
        <v>16215.333333333334</v>
      </c>
      <c r="I11" s="20">
        <v>16501</v>
      </c>
      <c r="J11" s="20"/>
      <c r="K11" s="20">
        <v>6128.666666666667</v>
      </c>
      <c r="L11" s="20">
        <v>6579</v>
      </c>
    </row>
    <row r="12" spans="1:12" ht="15.75">
      <c r="A12" s="18" t="s">
        <v>7</v>
      </c>
      <c r="B12" s="20">
        <v>15091.333333333334</v>
      </c>
      <c r="C12" s="19">
        <v>12790</v>
      </c>
      <c r="D12" s="20"/>
      <c r="E12" s="20">
        <v>59.666666666666664</v>
      </c>
      <c r="F12" s="20">
        <v>46</v>
      </c>
      <c r="G12" s="20"/>
      <c r="H12" s="20">
        <v>9876.333333333334</v>
      </c>
      <c r="I12" s="20">
        <v>8406</v>
      </c>
      <c r="J12" s="20"/>
      <c r="K12" s="20">
        <v>5155.333333333333</v>
      </c>
      <c r="L12" s="20">
        <v>4338</v>
      </c>
    </row>
    <row r="13" spans="1:12" ht="15.75">
      <c r="A13" s="18" t="s">
        <v>8</v>
      </c>
      <c r="B13" s="20">
        <v>22619</v>
      </c>
      <c r="C13" s="19">
        <v>22648</v>
      </c>
      <c r="D13" s="20"/>
      <c r="E13" s="20">
        <v>75.33333333333333</v>
      </c>
      <c r="F13" s="20">
        <v>83</v>
      </c>
      <c r="G13" s="20"/>
      <c r="H13" s="20">
        <v>14935.666666666666</v>
      </c>
      <c r="I13" s="20">
        <v>14878</v>
      </c>
      <c r="J13" s="20"/>
      <c r="K13" s="20">
        <v>7608</v>
      </c>
      <c r="L13" s="20">
        <v>7687</v>
      </c>
    </row>
    <row r="14" spans="1:12" ht="15.75">
      <c r="A14" s="18" t="s">
        <v>9</v>
      </c>
      <c r="B14" s="20">
        <v>4787</v>
      </c>
      <c r="C14" s="19">
        <v>4588</v>
      </c>
      <c r="D14" s="20"/>
      <c r="E14" s="20">
        <v>18.333333333333332</v>
      </c>
      <c r="F14" s="20">
        <v>18</v>
      </c>
      <c r="G14" s="20"/>
      <c r="H14" s="20">
        <v>2808</v>
      </c>
      <c r="I14" s="20">
        <v>2660</v>
      </c>
      <c r="J14" s="20"/>
      <c r="K14" s="20">
        <v>1960.6666666666667</v>
      </c>
      <c r="L14" s="20">
        <v>1910</v>
      </c>
    </row>
    <row r="15" spans="1:12" ht="15.75">
      <c r="A15" s="18"/>
      <c r="B15" s="20"/>
      <c r="C15" s="19"/>
      <c r="D15" s="20"/>
      <c r="E15" s="20"/>
      <c r="F15" s="20"/>
      <c r="G15" s="20"/>
      <c r="H15" s="20"/>
      <c r="I15" s="20"/>
      <c r="J15" s="20"/>
      <c r="K15" s="20"/>
      <c r="L15" s="20"/>
    </row>
    <row r="16" spans="1:12" ht="15.75">
      <c r="A16" s="18" t="s">
        <v>10</v>
      </c>
      <c r="B16" s="19">
        <v>208681.66666666674</v>
      </c>
      <c r="C16" s="19">
        <v>220738</v>
      </c>
      <c r="D16" s="20"/>
      <c r="E16" s="20">
        <v>900.0000000000001</v>
      </c>
      <c r="F16" s="20">
        <v>765</v>
      </c>
      <c r="G16" s="20"/>
      <c r="H16" s="20">
        <v>78264.99999999999</v>
      </c>
      <c r="I16" s="20">
        <v>75910</v>
      </c>
      <c r="J16" s="20"/>
      <c r="K16" s="20">
        <v>129516.33333333336</v>
      </c>
      <c r="L16" s="20">
        <v>144063</v>
      </c>
    </row>
    <row r="17" spans="1:12" ht="15.75">
      <c r="A17" s="18" t="s">
        <v>11</v>
      </c>
      <c r="B17" s="20">
        <v>7430</v>
      </c>
      <c r="C17" s="19">
        <v>8140</v>
      </c>
      <c r="D17" s="20"/>
      <c r="E17" s="20">
        <v>19.333333333333332</v>
      </c>
      <c r="F17" s="20">
        <v>21</v>
      </c>
      <c r="G17" s="20"/>
      <c r="H17" s="20">
        <v>2524.6666666666665</v>
      </c>
      <c r="I17" s="20">
        <v>2448</v>
      </c>
      <c r="J17" s="20"/>
      <c r="K17" s="20">
        <v>4886</v>
      </c>
      <c r="L17" s="20">
        <v>5671</v>
      </c>
    </row>
    <row r="18" spans="1:12" ht="15.75">
      <c r="A18" s="18" t="s">
        <v>12</v>
      </c>
      <c r="B18" s="20">
        <v>915.3333333333334</v>
      </c>
      <c r="C18" s="19">
        <v>929</v>
      </c>
      <c r="D18" s="20"/>
      <c r="E18" s="20">
        <v>8</v>
      </c>
      <c r="F18" s="20">
        <v>3</v>
      </c>
      <c r="G18" s="20"/>
      <c r="H18" s="20">
        <v>278.6666666666667</v>
      </c>
      <c r="I18" s="20">
        <v>277</v>
      </c>
      <c r="J18" s="20"/>
      <c r="K18" s="20">
        <v>628.6666666666666</v>
      </c>
      <c r="L18" s="20">
        <v>649</v>
      </c>
    </row>
    <row r="19" spans="1:12" ht="15.75">
      <c r="A19" s="18" t="s">
        <v>13</v>
      </c>
      <c r="B19" s="20">
        <v>3837.3333333333335</v>
      </c>
      <c r="C19" s="19">
        <v>4058</v>
      </c>
      <c r="D19" s="20"/>
      <c r="E19" s="20">
        <v>12.666666666666666</v>
      </c>
      <c r="F19" s="20">
        <v>8</v>
      </c>
      <c r="G19" s="20"/>
      <c r="H19" s="20">
        <v>1289</v>
      </c>
      <c r="I19" s="20">
        <v>1248</v>
      </c>
      <c r="J19" s="20"/>
      <c r="K19" s="20">
        <v>2535.6666666666665</v>
      </c>
      <c r="L19" s="20">
        <v>2802</v>
      </c>
    </row>
    <row r="20" spans="1:12" ht="15.75">
      <c r="A20" s="18" t="s">
        <v>14</v>
      </c>
      <c r="B20" s="20">
        <v>1673</v>
      </c>
      <c r="C20" s="19">
        <v>1713</v>
      </c>
      <c r="D20" s="20"/>
      <c r="E20" s="20">
        <v>10</v>
      </c>
      <c r="F20" s="20">
        <v>7</v>
      </c>
      <c r="G20" s="20"/>
      <c r="H20" s="20">
        <v>544</v>
      </c>
      <c r="I20" s="20">
        <v>490</v>
      </c>
      <c r="J20" s="20"/>
      <c r="K20" s="20">
        <v>1119</v>
      </c>
      <c r="L20" s="20">
        <v>1216</v>
      </c>
    </row>
    <row r="21" spans="1:12" ht="15.75">
      <c r="A21" s="18" t="s">
        <v>15</v>
      </c>
      <c r="B21" s="20">
        <v>1638</v>
      </c>
      <c r="C21" s="19">
        <v>1720</v>
      </c>
      <c r="D21" s="20"/>
      <c r="E21" s="20">
        <v>9.666666666666666</v>
      </c>
      <c r="F21" s="20">
        <v>15</v>
      </c>
      <c r="G21" s="20"/>
      <c r="H21" s="20">
        <v>524.3333333333334</v>
      </c>
      <c r="I21" s="20">
        <v>508</v>
      </c>
      <c r="J21" s="20"/>
      <c r="K21" s="20">
        <v>1104</v>
      </c>
      <c r="L21" s="20">
        <v>1197</v>
      </c>
    </row>
    <row r="22" spans="1:12" ht="15.75">
      <c r="A22" s="18" t="s">
        <v>16</v>
      </c>
      <c r="B22" s="20">
        <v>2704.6666666666665</v>
      </c>
      <c r="C22" s="19">
        <v>2766</v>
      </c>
      <c r="D22" s="20"/>
      <c r="E22" s="20">
        <v>14</v>
      </c>
      <c r="F22" s="20">
        <v>16</v>
      </c>
      <c r="G22" s="20"/>
      <c r="H22" s="20">
        <v>869.3333333333334</v>
      </c>
      <c r="I22" s="20">
        <v>778</v>
      </c>
      <c r="J22" s="20"/>
      <c r="K22" s="20">
        <v>1821.3333333333333</v>
      </c>
      <c r="L22" s="20">
        <v>1972</v>
      </c>
    </row>
    <row r="23" spans="1:12" ht="15.75">
      <c r="A23" s="18" t="s">
        <v>17</v>
      </c>
      <c r="B23" s="20">
        <v>1526.3333333333333</v>
      </c>
      <c r="C23" s="19">
        <v>1592</v>
      </c>
      <c r="D23" s="20"/>
      <c r="E23" s="20">
        <v>7.333333333333333</v>
      </c>
      <c r="F23" s="20">
        <v>4</v>
      </c>
      <c r="G23" s="20"/>
      <c r="H23" s="20">
        <v>527.3333333333334</v>
      </c>
      <c r="I23" s="20">
        <v>468</v>
      </c>
      <c r="J23" s="20"/>
      <c r="K23" s="20">
        <v>991.6666666666666</v>
      </c>
      <c r="L23" s="20">
        <v>1120</v>
      </c>
    </row>
    <row r="24" spans="1:12" ht="15.75">
      <c r="A24" s="18" t="s">
        <v>18</v>
      </c>
      <c r="B24" s="20">
        <v>1075</v>
      </c>
      <c r="C24" s="19">
        <v>1080</v>
      </c>
      <c r="D24" s="20"/>
      <c r="E24" s="20">
        <v>7.333333333333333</v>
      </c>
      <c r="F24" s="20">
        <v>6</v>
      </c>
      <c r="G24" s="20"/>
      <c r="H24" s="20">
        <v>319.6666666666667</v>
      </c>
      <c r="I24" s="20">
        <v>279</v>
      </c>
      <c r="J24" s="20"/>
      <c r="K24" s="20">
        <v>748</v>
      </c>
      <c r="L24" s="20">
        <v>795</v>
      </c>
    </row>
    <row r="25" spans="1:12" ht="15.75">
      <c r="A25" s="18" t="s">
        <v>19</v>
      </c>
      <c r="B25" s="20">
        <v>1592</v>
      </c>
      <c r="C25" s="19">
        <v>1667</v>
      </c>
      <c r="D25" s="20"/>
      <c r="E25" s="20">
        <v>8.333333333333334</v>
      </c>
      <c r="F25" s="20">
        <v>13</v>
      </c>
      <c r="G25" s="20"/>
      <c r="H25" s="20">
        <v>478.6666666666667</v>
      </c>
      <c r="I25" s="20">
        <v>407</v>
      </c>
      <c r="J25" s="20"/>
      <c r="K25" s="20">
        <v>1105</v>
      </c>
      <c r="L25" s="20">
        <v>1247</v>
      </c>
    </row>
    <row r="26" spans="1:12" ht="15.75">
      <c r="A26" s="18" t="s">
        <v>20</v>
      </c>
      <c r="B26" s="20">
        <v>1255</v>
      </c>
      <c r="C26" s="19">
        <v>1398</v>
      </c>
      <c r="D26" s="20"/>
      <c r="E26" s="20">
        <v>6.333333333333333</v>
      </c>
      <c r="F26" s="20">
        <v>10</v>
      </c>
      <c r="G26" s="20"/>
      <c r="H26" s="20">
        <v>415.6666666666667</v>
      </c>
      <c r="I26" s="20">
        <v>409</v>
      </c>
      <c r="J26" s="20"/>
      <c r="K26" s="20">
        <v>833</v>
      </c>
      <c r="L26" s="20">
        <v>979</v>
      </c>
    </row>
    <row r="27" spans="1:12" ht="15.75">
      <c r="A27" s="18" t="s">
        <v>21</v>
      </c>
      <c r="B27" s="20">
        <v>1154.3333333333333</v>
      </c>
      <c r="C27" s="19">
        <v>1267</v>
      </c>
      <c r="D27" s="20"/>
      <c r="E27" s="20">
        <v>5.333333333333333</v>
      </c>
      <c r="F27" s="20">
        <v>2</v>
      </c>
      <c r="G27" s="20"/>
      <c r="H27" s="20">
        <v>344</v>
      </c>
      <c r="I27" s="20">
        <v>305</v>
      </c>
      <c r="J27" s="20"/>
      <c r="K27" s="20">
        <v>805</v>
      </c>
      <c r="L27" s="20">
        <v>960</v>
      </c>
    </row>
    <row r="28" spans="1:12" ht="15.75">
      <c r="A28" s="18" t="s">
        <v>22</v>
      </c>
      <c r="B28" s="20">
        <v>1055.6666666666667</v>
      </c>
      <c r="C28" s="19">
        <v>1072</v>
      </c>
      <c r="D28" s="20"/>
      <c r="E28" s="20">
        <v>8.666666666666666</v>
      </c>
      <c r="F28" s="20">
        <v>5</v>
      </c>
      <c r="G28" s="20"/>
      <c r="H28" s="20">
        <v>324</v>
      </c>
      <c r="I28" s="20">
        <v>310</v>
      </c>
      <c r="J28" s="20"/>
      <c r="K28" s="20">
        <v>723</v>
      </c>
      <c r="L28" s="20">
        <v>757</v>
      </c>
    </row>
    <row r="29" spans="1:12" ht="15.75">
      <c r="A29" s="18" t="s">
        <v>23</v>
      </c>
      <c r="B29" s="20">
        <v>6323.333333333333</v>
      </c>
      <c r="C29" s="19">
        <v>6641</v>
      </c>
      <c r="D29" s="20"/>
      <c r="E29" s="20">
        <v>19</v>
      </c>
      <c r="F29" s="20">
        <v>21</v>
      </c>
      <c r="G29" s="20"/>
      <c r="H29" s="20">
        <v>2191.6666666666665</v>
      </c>
      <c r="I29" s="20">
        <v>2062</v>
      </c>
      <c r="J29" s="20"/>
      <c r="K29" s="20">
        <v>4112.666666666667</v>
      </c>
      <c r="L29" s="20">
        <v>4558</v>
      </c>
    </row>
    <row r="30" spans="1:12" ht="15.75">
      <c r="A30" s="18" t="s">
        <v>24</v>
      </c>
      <c r="B30" s="20">
        <v>15760.666666666666</v>
      </c>
      <c r="C30" s="19">
        <v>16727</v>
      </c>
      <c r="D30" s="20"/>
      <c r="E30" s="20">
        <v>56</v>
      </c>
      <c r="F30" s="20">
        <v>56</v>
      </c>
      <c r="G30" s="20"/>
      <c r="H30" s="20">
        <v>7203.333333333333</v>
      </c>
      <c r="I30" s="20">
        <v>7096</v>
      </c>
      <c r="J30" s="20"/>
      <c r="K30" s="20">
        <v>8501.333333333334</v>
      </c>
      <c r="L30" s="20">
        <v>9575</v>
      </c>
    </row>
    <row r="31" spans="1:12" ht="15.75">
      <c r="A31" s="18" t="s">
        <v>25</v>
      </c>
      <c r="B31" s="20">
        <v>963</v>
      </c>
      <c r="C31" s="19">
        <v>990</v>
      </c>
      <c r="D31" s="20"/>
      <c r="E31" s="20">
        <v>7.666666666666667</v>
      </c>
      <c r="F31" s="20">
        <v>4</v>
      </c>
      <c r="G31" s="20"/>
      <c r="H31" s="20">
        <v>260.6666666666667</v>
      </c>
      <c r="I31" s="20">
        <v>244</v>
      </c>
      <c r="J31" s="20"/>
      <c r="K31" s="20">
        <v>694.6666666666666</v>
      </c>
      <c r="L31" s="20">
        <v>742</v>
      </c>
    </row>
    <row r="32" spans="1:12" ht="15.75">
      <c r="A32" s="18" t="s">
        <v>26</v>
      </c>
      <c r="B32" s="20">
        <v>1080.6666666666667</v>
      </c>
      <c r="C32" s="19">
        <v>1139</v>
      </c>
      <c r="D32" s="20"/>
      <c r="E32" s="20">
        <v>5</v>
      </c>
      <c r="F32" s="20">
        <v>4</v>
      </c>
      <c r="G32" s="20"/>
      <c r="H32" s="20">
        <v>325.3333333333333</v>
      </c>
      <c r="I32" s="20">
        <v>289</v>
      </c>
      <c r="J32" s="20"/>
      <c r="K32" s="20">
        <v>750.3333333333334</v>
      </c>
      <c r="L32" s="20">
        <v>846</v>
      </c>
    </row>
    <row r="33" spans="1:12" ht="15.75">
      <c r="A33" s="18" t="s">
        <v>27</v>
      </c>
      <c r="B33" s="20">
        <v>965</v>
      </c>
      <c r="C33" s="19">
        <v>1072</v>
      </c>
      <c r="D33" s="20"/>
      <c r="E33" s="20">
        <v>5.666666666666667</v>
      </c>
      <c r="F33" s="20">
        <v>5</v>
      </c>
      <c r="G33" s="20"/>
      <c r="H33" s="20">
        <v>341.6666666666667</v>
      </c>
      <c r="I33" s="20">
        <v>386</v>
      </c>
      <c r="J33" s="20"/>
      <c r="K33" s="20">
        <v>617.6666666666666</v>
      </c>
      <c r="L33" s="20">
        <v>681</v>
      </c>
    </row>
    <row r="34" spans="1:12" ht="15.75">
      <c r="A34" s="18" t="s">
        <v>28</v>
      </c>
      <c r="B34" s="20">
        <v>1772.3333333333333</v>
      </c>
      <c r="C34" s="19">
        <v>2069</v>
      </c>
      <c r="D34" s="20"/>
      <c r="E34" s="20">
        <v>11.333333333333334</v>
      </c>
      <c r="F34" s="20">
        <v>9</v>
      </c>
      <c r="G34" s="20"/>
      <c r="H34" s="20">
        <v>500.6666666666667</v>
      </c>
      <c r="I34" s="20">
        <v>482</v>
      </c>
      <c r="J34" s="20"/>
      <c r="K34" s="20">
        <v>1260.3333333333333</v>
      </c>
      <c r="L34" s="20">
        <v>1578</v>
      </c>
    </row>
    <row r="35" spans="1:12" ht="15.75">
      <c r="A35" s="18" t="s">
        <v>29</v>
      </c>
      <c r="B35" s="20">
        <v>1148.6666666666667</v>
      </c>
      <c r="C35" s="19">
        <v>1255</v>
      </c>
      <c r="D35" s="20"/>
      <c r="E35" s="20">
        <v>7.333333333333333</v>
      </c>
      <c r="F35" s="20">
        <v>11</v>
      </c>
      <c r="G35" s="20"/>
      <c r="H35" s="20">
        <v>349.3333333333333</v>
      </c>
      <c r="I35" s="20">
        <v>330</v>
      </c>
      <c r="J35" s="20"/>
      <c r="K35" s="20">
        <v>792</v>
      </c>
      <c r="L35" s="20">
        <v>914</v>
      </c>
    </row>
    <row r="36" spans="1:12" ht="15.75">
      <c r="A36" s="18" t="s">
        <v>30</v>
      </c>
      <c r="B36" s="20">
        <v>179.66666666666666</v>
      </c>
      <c r="C36" s="19">
        <v>195</v>
      </c>
      <c r="D36" s="20"/>
      <c r="E36" s="20">
        <v>1</v>
      </c>
      <c r="F36" s="19">
        <v>0</v>
      </c>
      <c r="G36" s="20"/>
      <c r="H36" s="20">
        <v>35</v>
      </c>
      <c r="I36" s="20">
        <v>32</v>
      </c>
      <c r="J36" s="20"/>
      <c r="K36" s="20">
        <v>143.66666666666666</v>
      </c>
      <c r="L36" s="20">
        <v>163</v>
      </c>
    </row>
    <row r="37" spans="1:12" ht="15.75">
      <c r="A37" s="18" t="s">
        <v>31</v>
      </c>
      <c r="B37" s="20">
        <v>1043.3333333333333</v>
      </c>
      <c r="C37" s="19">
        <v>1165</v>
      </c>
      <c r="D37" s="20"/>
      <c r="E37" s="20">
        <v>6</v>
      </c>
      <c r="F37" s="20">
        <v>4</v>
      </c>
      <c r="G37" s="20"/>
      <c r="H37" s="20">
        <v>328</v>
      </c>
      <c r="I37" s="20">
        <v>340</v>
      </c>
      <c r="J37" s="20"/>
      <c r="K37" s="20">
        <v>709.3333333333334</v>
      </c>
      <c r="L37" s="20">
        <v>821</v>
      </c>
    </row>
    <row r="38" spans="1:12" ht="15.75">
      <c r="A38" s="18" t="s">
        <v>32</v>
      </c>
      <c r="B38" s="20">
        <v>2111</v>
      </c>
      <c r="C38" s="19">
        <v>2372</v>
      </c>
      <c r="D38" s="20"/>
      <c r="E38" s="20">
        <v>11.333333333333334</v>
      </c>
      <c r="F38" s="20">
        <v>14</v>
      </c>
      <c r="G38" s="20"/>
      <c r="H38" s="20">
        <v>725.3333333333334</v>
      </c>
      <c r="I38" s="20">
        <v>725</v>
      </c>
      <c r="J38" s="20"/>
      <c r="K38" s="20">
        <v>1374.3333333333333</v>
      </c>
      <c r="L38" s="20">
        <v>1633</v>
      </c>
    </row>
    <row r="39" spans="1:12" ht="15.75">
      <c r="A39" s="18" t="s">
        <v>33</v>
      </c>
      <c r="B39" s="20">
        <v>516.3333333333334</v>
      </c>
      <c r="C39" s="19">
        <v>564</v>
      </c>
      <c r="D39" s="20"/>
      <c r="E39" s="20">
        <v>7.333333333333333</v>
      </c>
      <c r="F39" s="20">
        <v>1</v>
      </c>
      <c r="G39" s="20"/>
      <c r="H39" s="20">
        <v>146.33333333333334</v>
      </c>
      <c r="I39" s="20">
        <v>129</v>
      </c>
      <c r="J39" s="20"/>
      <c r="K39" s="20">
        <v>362.6666666666667</v>
      </c>
      <c r="L39" s="20">
        <v>434</v>
      </c>
    </row>
    <row r="40" spans="1:12" ht="15.75">
      <c r="A40" s="18" t="s">
        <v>34</v>
      </c>
      <c r="B40" s="20">
        <v>1431.6666666666667</v>
      </c>
      <c r="C40" s="19">
        <v>1495</v>
      </c>
      <c r="D40" s="20"/>
      <c r="E40" s="20">
        <v>7.666666666666667</v>
      </c>
      <c r="F40" s="20">
        <v>11</v>
      </c>
      <c r="G40" s="20"/>
      <c r="H40" s="20">
        <v>371.3333333333333</v>
      </c>
      <c r="I40" s="20">
        <v>353</v>
      </c>
      <c r="J40" s="20"/>
      <c r="K40" s="20">
        <v>1052.6666666666667</v>
      </c>
      <c r="L40" s="20">
        <v>1131</v>
      </c>
    </row>
    <row r="41" spans="1:12" ht="15.75">
      <c r="A41" s="18" t="s">
        <v>35</v>
      </c>
      <c r="B41" s="20">
        <v>1459.3333333333333</v>
      </c>
      <c r="C41" s="19">
        <v>1490</v>
      </c>
      <c r="D41" s="20"/>
      <c r="E41" s="20">
        <v>8.666666666666666</v>
      </c>
      <c r="F41" s="20">
        <v>12</v>
      </c>
      <c r="G41" s="20"/>
      <c r="H41" s="20">
        <v>425</v>
      </c>
      <c r="I41" s="20">
        <v>385</v>
      </c>
      <c r="J41" s="20"/>
      <c r="K41" s="20">
        <v>1025.6666666666667</v>
      </c>
      <c r="L41" s="20">
        <v>1093</v>
      </c>
    </row>
    <row r="42" spans="1:12" ht="15.75">
      <c r="A42" s="18" t="s">
        <v>36</v>
      </c>
      <c r="B42" s="20">
        <v>13916.666666666666</v>
      </c>
      <c r="C42" s="19">
        <v>15288</v>
      </c>
      <c r="D42" s="20"/>
      <c r="E42" s="20">
        <v>39</v>
      </c>
      <c r="F42" s="20">
        <v>26</v>
      </c>
      <c r="G42" s="20"/>
      <c r="H42" s="20">
        <v>5105.333333333333</v>
      </c>
      <c r="I42" s="20">
        <v>5139</v>
      </c>
      <c r="J42" s="20"/>
      <c r="K42" s="20">
        <v>8772.333333333334</v>
      </c>
      <c r="L42" s="20">
        <v>10123</v>
      </c>
    </row>
    <row r="43" spans="1:12" ht="15.75">
      <c r="A43" s="18" t="s">
        <v>37</v>
      </c>
      <c r="B43" s="20">
        <v>1132.6666666666667</v>
      </c>
      <c r="C43" s="19">
        <v>1170</v>
      </c>
      <c r="D43" s="20"/>
      <c r="E43" s="20">
        <v>6</v>
      </c>
      <c r="F43" s="20">
        <v>4</v>
      </c>
      <c r="G43" s="20"/>
      <c r="H43" s="20">
        <v>339.3333333333333</v>
      </c>
      <c r="I43" s="20">
        <v>297</v>
      </c>
      <c r="J43" s="20"/>
      <c r="K43" s="20">
        <v>787.3333333333334</v>
      </c>
      <c r="L43" s="20">
        <v>869</v>
      </c>
    </row>
    <row r="44" spans="1:12" ht="15.75">
      <c r="A44" s="18" t="s">
        <v>38</v>
      </c>
      <c r="B44" s="20">
        <v>31821.666666666668</v>
      </c>
      <c r="C44" s="19">
        <v>32506</v>
      </c>
      <c r="D44" s="20"/>
      <c r="E44" s="20">
        <v>89</v>
      </c>
      <c r="F44" s="20">
        <v>83</v>
      </c>
      <c r="G44" s="20"/>
      <c r="H44" s="20">
        <v>13456.333333333334</v>
      </c>
      <c r="I44" s="20">
        <v>13123</v>
      </c>
      <c r="J44" s="20"/>
      <c r="K44" s="20">
        <v>18276.333333333332</v>
      </c>
      <c r="L44" s="20">
        <v>19300</v>
      </c>
    </row>
    <row r="45" spans="1:12" ht="15.75">
      <c r="A45" s="18" t="s">
        <v>39</v>
      </c>
      <c r="B45" s="20">
        <v>3382.3333333333335</v>
      </c>
      <c r="C45" s="19">
        <v>3629</v>
      </c>
      <c r="D45" s="20"/>
      <c r="E45" s="20">
        <v>18.666666666666668</v>
      </c>
      <c r="F45" s="20">
        <v>16</v>
      </c>
      <c r="G45" s="20"/>
      <c r="H45" s="20">
        <v>1340.6666666666667</v>
      </c>
      <c r="I45" s="20">
        <v>1337</v>
      </c>
      <c r="J45" s="20"/>
      <c r="K45" s="20">
        <v>2023</v>
      </c>
      <c r="L45" s="20">
        <v>2276</v>
      </c>
    </row>
    <row r="46" spans="1:12" ht="15.75">
      <c r="A46" s="18" t="s">
        <v>40</v>
      </c>
      <c r="B46" s="20">
        <v>4637</v>
      </c>
      <c r="C46" s="19">
        <v>4780</v>
      </c>
      <c r="D46" s="20"/>
      <c r="E46" s="20">
        <v>21.666666666666668</v>
      </c>
      <c r="F46" s="20">
        <v>13</v>
      </c>
      <c r="G46" s="20"/>
      <c r="H46" s="20">
        <v>1553.3333333333333</v>
      </c>
      <c r="I46" s="20">
        <v>1449</v>
      </c>
      <c r="J46" s="20"/>
      <c r="K46" s="20">
        <v>3062</v>
      </c>
      <c r="L46" s="20">
        <v>3318</v>
      </c>
    </row>
    <row r="47" spans="1:12" ht="15.75">
      <c r="A47" s="18" t="s">
        <v>41</v>
      </c>
      <c r="B47" s="20">
        <v>9806</v>
      </c>
      <c r="C47" s="19">
        <v>10097</v>
      </c>
      <c r="D47" s="20"/>
      <c r="E47" s="20">
        <v>31.333333333333332</v>
      </c>
      <c r="F47" s="20">
        <v>31</v>
      </c>
      <c r="G47" s="20"/>
      <c r="H47" s="20">
        <v>3337.6666666666665</v>
      </c>
      <c r="I47" s="20">
        <v>3398</v>
      </c>
      <c r="J47" s="20"/>
      <c r="K47" s="20">
        <v>6437</v>
      </c>
      <c r="L47" s="20">
        <v>6668</v>
      </c>
    </row>
    <row r="48" spans="1:12" ht="15.75">
      <c r="A48" s="18" t="s">
        <v>42</v>
      </c>
      <c r="B48" s="20">
        <v>2182</v>
      </c>
      <c r="C48" s="19">
        <v>2435</v>
      </c>
      <c r="D48" s="20"/>
      <c r="E48" s="20">
        <v>12.666666666666666</v>
      </c>
      <c r="F48" s="20">
        <v>8</v>
      </c>
      <c r="G48" s="20"/>
      <c r="H48" s="20">
        <v>683</v>
      </c>
      <c r="I48" s="20">
        <v>699</v>
      </c>
      <c r="J48" s="20"/>
      <c r="K48" s="20">
        <v>1486.3333333333333</v>
      </c>
      <c r="L48" s="20">
        <v>1728</v>
      </c>
    </row>
    <row r="49" spans="1:12" ht="15.75">
      <c r="A49" s="18" t="s">
        <v>43</v>
      </c>
      <c r="B49" s="20">
        <v>9189</v>
      </c>
      <c r="C49" s="19">
        <v>10472</v>
      </c>
      <c r="D49" s="20"/>
      <c r="E49" s="20">
        <v>40.666666666666664</v>
      </c>
      <c r="F49" s="20">
        <v>35</v>
      </c>
      <c r="G49" s="20"/>
      <c r="H49" s="20">
        <v>3185.3333333333335</v>
      </c>
      <c r="I49" s="20">
        <v>3164</v>
      </c>
      <c r="J49" s="20"/>
      <c r="K49" s="20">
        <v>5963</v>
      </c>
      <c r="L49" s="20">
        <v>7273</v>
      </c>
    </row>
    <row r="50" spans="1:12" ht="15.75">
      <c r="A50" s="18" t="s">
        <v>44</v>
      </c>
      <c r="B50" s="20">
        <v>678.3333333333334</v>
      </c>
      <c r="C50" s="19">
        <v>779</v>
      </c>
      <c r="D50" s="20"/>
      <c r="E50" s="20">
        <v>6.333333333333333</v>
      </c>
      <c r="F50" s="20">
        <v>6</v>
      </c>
      <c r="G50" s="20"/>
      <c r="H50" s="20">
        <v>205.33333333333334</v>
      </c>
      <c r="I50" s="20">
        <v>214</v>
      </c>
      <c r="J50" s="20"/>
      <c r="K50" s="20">
        <v>466.6666666666667</v>
      </c>
      <c r="L50" s="20">
        <v>559</v>
      </c>
    </row>
    <row r="51" spans="1:12" ht="15.75">
      <c r="A51" s="18" t="s">
        <v>45</v>
      </c>
      <c r="B51" s="20">
        <v>2089.6666666666665</v>
      </c>
      <c r="C51" s="19">
        <v>2034</v>
      </c>
      <c r="D51" s="20"/>
      <c r="E51" s="20">
        <v>14</v>
      </c>
      <c r="F51" s="20">
        <v>12</v>
      </c>
      <c r="G51" s="20"/>
      <c r="H51" s="20">
        <v>741</v>
      </c>
      <c r="I51" s="20">
        <v>606</v>
      </c>
      <c r="J51" s="20"/>
      <c r="K51" s="20">
        <v>1334.6666666666667</v>
      </c>
      <c r="L51" s="20">
        <v>1416</v>
      </c>
    </row>
    <row r="52" spans="1:12" ht="15.75">
      <c r="A52" s="18" t="s">
        <v>46</v>
      </c>
      <c r="B52" s="20">
        <v>1465</v>
      </c>
      <c r="C52" s="19">
        <v>1476</v>
      </c>
      <c r="D52" s="20"/>
      <c r="E52" s="20">
        <v>10</v>
      </c>
      <c r="F52" s="20">
        <v>4</v>
      </c>
      <c r="G52" s="20"/>
      <c r="H52" s="20">
        <v>410.3333333333333</v>
      </c>
      <c r="I52" s="20">
        <v>370</v>
      </c>
      <c r="J52" s="20"/>
      <c r="K52" s="20">
        <v>1044.6666666666667</v>
      </c>
      <c r="L52" s="20">
        <v>1102</v>
      </c>
    </row>
    <row r="53" spans="1:12" ht="15.75">
      <c r="A53" s="18" t="s">
        <v>47</v>
      </c>
      <c r="B53" s="20">
        <v>2486.3333333333335</v>
      </c>
      <c r="C53" s="19">
        <v>2483</v>
      </c>
      <c r="D53" s="20"/>
      <c r="E53" s="20">
        <v>12.333333333333334</v>
      </c>
      <c r="F53" s="20">
        <v>11</v>
      </c>
      <c r="G53" s="20"/>
      <c r="H53" s="20">
        <v>821.3333333333334</v>
      </c>
      <c r="I53" s="20">
        <v>717</v>
      </c>
      <c r="J53" s="20"/>
      <c r="K53" s="20">
        <v>1652.6666666666667</v>
      </c>
      <c r="L53" s="20">
        <v>1755</v>
      </c>
    </row>
    <row r="54" spans="1:12" ht="15.75">
      <c r="A54" s="18" t="s">
        <v>48</v>
      </c>
      <c r="B54" s="20">
        <v>2571</v>
      </c>
      <c r="C54" s="19">
        <v>2753</v>
      </c>
      <c r="D54" s="20"/>
      <c r="E54" s="20">
        <v>12</v>
      </c>
      <c r="F54" s="20">
        <v>6</v>
      </c>
      <c r="G54" s="20"/>
      <c r="H54" s="20">
        <v>964.6666666666666</v>
      </c>
      <c r="I54" s="20">
        <v>923</v>
      </c>
      <c r="J54" s="20"/>
      <c r="K54" s="20">
        <v>1594.3333333333333</v>
      </c>
      <c r="L54" s="20">
        <v>1824</v>
      </c>
    </row>
    <row r="55" spans="1:12" ht="15.75">
      <c r="A55" s="18" t="s">
        <v>49</v>
      </c>
      <c r="B55" s="20">
        <v>5976.333333333333</v>
      </c>
      <c r="C55" s="19">
        <v>6275</v>
      </c>
      <c r="D55" s="20"/>
      <c r="E55" s="20">
        <v>20.333333333333332</v>
      </c>
      <c r="F55" s="20">
        <v>5</v>
      </c>
      <c r="G55" s="20"/>
      <c r="H55" s="20">
        <v>2359.3333333333335</v>
      </c>
      <c r="I55" s="20">
        <v>2290</v>
      </c>
      <c r="J55" s="20"/>
      <c r="K55" s="20">
        <v>3596.6666666666665</v>
      </c>
      <c r="L55" s="20">
        <v>3980</v>
      </c>
    </row>
    <row r="56" spans="1:12" ht="15.75">
      <c r="A56" s="18" t="s">
        <v>50</v>
      </c>
      <c r="B56" s="20">
        <v>2321</v>
      </c>
      <c r="C56" s="19">
        <v>2470</v>
      </c>
      <c r="D56" s="20"/>
      <c r="E56" s="20">
        <v>13.666666666666666</v>
      </c>
      <c r="F56" s="20">
        <v>11</v>
      </c>
      <c r="G56" s="20"/>
      <c r="H56" s="20">
        <v>573.6666666666666</v>
      </c>
      <c r="I56" s="20">
        <v>571</v>
      </c>
      <c r="J56" s="20"/>
      <c r="K56" s="20">
        <v>1733.6666666666667</v>
      </c>
      <c r="L56" s="20">
        <v>1888</v>
      </c>
    </row>
    <row r="57" spans="1:12" ht="15.75">
      <c r="A57" s="18" t="s">
        <v>51</v>
      </c>
      <c r="B57" s="20">
        <v>4033</v>
      </c>
      <c r="C57" s="19">
        <v>4592</v>
      </c>
      <c r="D57" s="20"/>
      <c r="E57" s="20">
        <v>19</v>
      </c>
      <c r="F57" s="20">
        <v>16</v>
      </c>
      <c r="G57" s="20"/>
      <c r="H57" s="20">
        <v>1208</v>
      </c>
      <c r="I57" s="20">
        <v>1225</v>
      </c>
      <c r="J57" s="20"/>
      <c r="K57" s="20">
        <v>2806</v>
      </c>
      <c r="L57" s="20">
        <v>3351</v>
      </c>
    </row>
    <row r="58" spans="1:12" ht="15.75">
      <c r="A58" s="18" t="s">
        <v>52</v>
      </c>
      <c r="B58" s="20">
        <v>3085</v>
      </c>
      <c r="C58" s="19">
        <v>3456</v>
      </c>
      <c r="D58" s="20"/>
      <c r="E58" s="20">
        <v>8.333333333333334</v>
      </c>
      <c r="F58" s="20">
        <v>2</v>
      </c>
      <c r="G58" s="20"/>
      <c r="H58" s="20">
        <v>1070</v>
      </c>
      <c r="I58" s="20">
        <v>1062</v>
      </c>
      <c r="J58" s="20"/>
      <c r="K58" s="20">
        <v>2006.6666666666667</v>
      </c>
      <c r="L58" s="20">
        <v>2392</v>
      </c>
    </row>
    <row r="59" spans="1:12" ht="15.75">
      <c r="A59" s="18" t="s">
        <v>53</v>
      </c>
      <c r="B59" s="20">
        <v>663.3333333333334</v>
      </c>
      <c r="C59" s="19">
        <v>688</v>
      </c>
      <c r="D59" s="20"/>
      <c r="E59" s="20">
        <v>2.3333333333333335</v>
      </c>
      <c r="F59" s="20">
        <v>1</v>
      </c>
      <c r="G59" s="20"/>
      <c r="H59" s="20">
        <v>203.66666666666666</v>
      </c>
      <c r="I59" s="20">
        <v>192</v>
      </c>
      <c r="J59" s="20"/>
      <c r="K59" s="20">
        <v>457.3333333333333</v>
      </c>
      <c r="L59" s="20">
        <v>495</v>
      </c>
    </row>
    <row r="60" spans="1:12" ht="15.75">
      <c r="A60" s="18" t="s">
        <v>54</v>
      </c>
      <c r="B60" s="20">
        <v>515</v>
      </c>
      <c r="C60" s="19">
        <v>531</v>
      </c>
      <c r="D60" s="20"/>
      <c r="E60" s="19">
        <v>0</v>
      </c>
      <c r="F60" s="20">
        <v>4</v>
      </c>
      <c r="G60" s="20"/>
      <c r="H60" s="20">
        <v>139</v>
      </c>
      <c r="I60" s="20">
        <v>113</v>
      </c>
      <c r="J60" s="20"/>
      <c r="K60" s="20">
        <v>375.6666666666667</v>
      </c>
      <c r="L60" s="20">
        <v>414</v>
      </c>
    </row>
    <row r="61" spans="1:12" ht="15.75">
      <c r="A61" s="18" t="s">
        <v>55</v>
      </c>
      <c r="B61" s="20">
        <v>680</v>
      </c>
      <c r="C61" s="19">
        <v>773</v>
      </c>
      <c r="D61" s="20"/>
      <c r="E61" s="20">
        <v>5</v>
      </c>
      <c r="F61" s="20">
        <v>6</v>
      </c>
      <c r="G61" s="20"/>
      <c r="H61" s="20">
        <v>220.33333333333334</v>
      </c>
      <c r="I61" s="20">
        <v>236</v>
      </c>
      <c r="J61" s="20"/>
      <c r="K61" s="20">
        <v>454.6666666666667</v>
      </c>
      <c r="L61" s="20">
        <v>531</v>
      </c>
    </row>
    <row r="62" spans="1:12" ht="15.75">
      <c r="A62" s="18" t="s">
        <v>56</v>
      </c>
      <c r="B62" s="20">
        <v>1968</v>
      </c>
      <c r="C62" s="19">
        <v>2106</v>
      </c>
      <c r="D62" s="20"/>
      <c r="E62" s="20">
        <v>13.666666666666666</v>
      </c>
      <c r="F62" s="20">
        <v>8</v>
      </c>
      <c r="G62" s="20"/>
      <c r="H62" s="20">
        <v>589</v>
      </c>
      <c r="I62" s="20">
        <v>547</v>
      </c>
      <c r="J62" s="20"/>
      <c r="K62" s="20">
        <v>1365.3333333333333</v>
      </c>
      <c r="L62" s="20">
        <v>1551</v>
      </c>
    </row>
    <row r="63" spans="1:12" ht="15.75">
      <c r="A63" s="18" t="s">
        <v>57</v>
      </c>
      <c r="B63" s="20">
        <v>29938.333333333332</v>
      </c>
      <c r="C63" s="19">
        <v>30944</v>
      </c>
      <c r="D63" s="20"/>
      <c r="E63" s="20">
        <v>151.33333333333334</v>
      </c>
      <c r="F63" s="20">
        <v>138</v>
      </c>
      <c r="G63" s="20"/>
      <c r="H63" s="20">
        <v>13677.666666666666</v>
      </c>
      <c r="I63" s="20">
        <v>13277</v>
      </c>
      <c r="J63" s="20"/>
      <c r="K63" s="20">
        <v>16109.333333333334</v>
      </c>
      <c r="L63" s="20">
        <v>17529</v>
      </c>
    </row>
    <row r="64" spans="1:12" ht="15.75">
      <c r="A64" s="18" t="s">
        <v>58</v>
      </c>
      <c r="B64" s="20">
        <v>1949.3333333333333</v>
      </c>
      <c r="C64" s="19">
        <v>1886</v>
      </c>
      <c r="D64" s="20"/>
      <c r="E64" s="20">
        <v>14</v>
      </c>
      <c r="F64" s="20">
        <v>10</v>
      </c>
      <c r="G64" s="20"/>
      <c r="H64" s="20">
        <v>671.6666666666666</v>
      </c>
      <c r="I64" s="20">
        <v>566</v>
      </c>
      <c r="J64" s="20"/>
      <c r="K64" s="20">
        <v>1263.6666666666667</v>
      </c>
      <c r="L64" s="20">
        <v>1310</v>
      </c>
    </row>
    <row r="65" spans="1:12" ht="15.75">
      <c r="A65" s="18" t="s">
        <v>59</v>
      </c>
      <c r="B65" s="20">
        <v>878.3333333333334</v>
      </c>
      <c r="C65" s="19">
        <v>890</v>
      </c>
      <c r="D65" s="20"/>
      <c r="E65" s="20">
        <v>5.333333333333333</v>
      </c>
      <c r="F65" s="20">
        <v>5</v>
      </c>
      <c r="G65" s="20"/>
      <c r="H65" s="20">
        <v>270.3333333333333</v>
      </c>
      <c r="I65" s="20">
        <v>237</v>
      </c>
      <c r="J65" s="20"/>
      <c r="K65" s="20">
        <v>602.6666666666666</v>
      </c>
      <c r="L65" s="20">
        <v>648</v>
      </c>
    </row>
    <row r="66" spans="1:12" ht="15.75">
      <c r="A66" s="18" t="s">
        <v>60</v>
      </c>
      <c r="B66" s="20">
        <v>2164.3333333333335</v>
      </c>
      <c r="C66" s="19">
        <v>2411</v>
      </c>
      <c r="D66" s="20"/>
      <c r="E66" s="20">
        <v>7.666666666666667</v>
      </c>
      <c r="F66" s="20">
        <v>7</v>
      </c>
      <c r="G66" s="20"/>
      <c r="H66" s="20">
        <v>598.3333333333334</v>
      </c>
      <c r="I66" s="20">
        <v>554</v>
      </c>
      <c r="J66" s="20"/>
      <c r="K66" s="20">
        <v>1558.3333333333333</v>
      </c>
      <c r="L66" s="20">
        <v>1850</v>
      </c>
    </row>
    <row r="67" spans="1:12" ht="15.75">
      <c r="A67" s="18" t="s">
        <v>61</v>
      </c>
      <c r="B67" s="20">
        <v>4189.333333333333</v>
      </c>
      <c r="C67" s="19">
        <v>4639</v>
      </c>
      <c r="D67" s="20"/>
      <c r="E67" s="20">
        <v>28.666666666666668</v>
      </c>
      <c r="F67" s="20">
        <v>13</v>
      </c>
      <c r="G67" s="20"/>
      <c r="H67" s="20">
        <v>1528.6666666666667</v>
      </c>
      <c r="I67" s="20">
        <v>1468</v>
      </c>
      <c r="J67" s="20"/>
      <c r="K67" s="20">
        <v>2632</v>
      </c>
      <c r="L67" s="20">
        <v>3158</v>
      </c>
    </row>
    <row r="68" spans="1:12" ht="15.75">
      <c r="A68" s="18" t="s">
        <v>62</v>
      </c>
      <c r="B68" s="20">
        <v>1654.3333333333333</v>
      </c>
      <c r="C68" s="19">
        <v>1691</v>
      </c>
      <c r="D68" s="20"/>
      <c r="E68" s="20">
        <v>8</v>
      </c>
      <c r="F68" s="20">
        <v>9</v>
      </c>
      <c r="G68" s="20"/>
      <c r="H68" s="20">
        <v>536</v>
      </c>
      <c r="I68" s="20">
        <v>525</v>
      </c>
      <c r="J68" s="20"/>
      <c r="K68" s="20">
        <v>1110.3333333333333</v>
      </c>
      <c r="L68" s="20">
        <v>1157</v>
      </c>
    </row>
    <row r="69" spans="1:12" ht="15.75">
      <c r="A69" s="18" t="s">
        <v>63</v>
      </c>
      <c r="B69" s="20">
        <v>1028</v>
      </c>
      <c r="C69" s="19">
        <v>1110</v>
      </c>
      <c r="D69" s="20"/>
      <c r="E69" s="20">
        <v>7.666666666666667</v>
      </c>
      <c r="F69" s="20">
        <v>7</v>
      </c>
      <c r="G69" s="20"/>
      <c r="H69" s="20">
        <v>371.3333333333333</v>
      </c>
      <c r="I69" s="20">
        <v>345</v>
      </c>
      <c r="J69" s="20"/>
      <c r="K69" s="20">
        <v>649</v>
      </c>
      <c r="L69" s="20">
        <v>758</v>
      </c>
    </row>
    <row r="70" spans="1:12" ht="15.75">
      <c r="A70" s="18" t="s">
        <v>64</v>
      </c>
      <c r="B70" s="20">
        <v>1668.6666666666667</v>
      </c>
      <c r="C70" s="19">
        <v>1798</v>
      </c>
      <c r="D70" s="20"/>
      <c r="E70" s="20">
        <v>10.333333333333334</v>
      </c>
      <c r="F70" s="20">
        <v>6</v>
      </c>
      <c r="G70" s="20"/>
      <c r="H70" s="20">
        <v>461.3333333333333</v>
      </c>
      <c r="I70" s="18">
        <v>486</v>
      </c>
      <c r="J70" s="20"/>
      <c r="K70" s="20">
        <v>1197</v>
      </c>
      <c r="L70" s="20">
        <v>1306</v>
      </c>
    </row>
    <row r="71" spans="1:12" ht="15.75">
      <c r="A71" s="1" t="s">
        <v>65</v>
      </c>
      <c r="B71" s="8">
        <v>15540.333333333334</v>
      </c>
      <c r="C71" s="7">
        <v>15630</v>
      </c>
      <c r="D71" s="8"/>
      <c r="E71" s="8">
        <v>45.666666666666664</v>
      </c>
      <c r="F71" s="8">
        <v>36</v>
      </c>
      <c r="G71" s="8"/>
      <c r="H71" s="8">
        <v>6372</v>
      </c>
      <c r="I71" s="8">
        <v>5984</v>
      </c>
      <c r="J71" s="8"/>
      <c r="K71" s="8">
        <v>9122.666666666666</v>
      </c>
      <c r="L71" s="8">
        <v>9610</v>
      </c>
    </row>
    <row r="72" spans="1:12" ht="15.75">
      <c r="A72" s="1" t="s">
        <v>66</v>
      </c>
      <c r="B72" s="8">
        <v>1031.3333333333333</v>
      </c>
      <c r="C72" s="7">
        <v>1147</v>
      </c>
      <c r="D72" s="8"/>
      <c r="E72" s="8">
        <v>6.666666666666667</v>
      </c>
      <c r="F72" s="8">
        <v>2</v>
      </c>
      <c r="G72" s="8"/>
      <c r="H72" s="8">
        <v>248</v>
      </c>
      <c r="I72" s="8">
        <v>241</v>
      </c>
      <c r="J72" s="8"/>
      <c r="K72" s="8">
        <v>776.6666666666666</v>
      </c>
      <c r="L72" s="8">
        <v>904</v>
      </c>
    </row>
    <row r="73" spans="1:12" ht="15.75">
      <c r="A73" s="1" t="s">
        <v>67</v>
      </c>
      <c r="B73" s="8">
        <v>421.3333333333333</v>
      </c>
      <c r="C73" s="7">
        <v>481</v>
      </c>
      <c r="D73" s="8"/>
      <c r="E73" s="8">
        <v>3.3333333333333335</v>
      </c>
      <c r="F73" s="7">
        <v>1</v>
      </c>
      <c r="G73" s="8"/>
      <c r="H73" s="8">
        <v>126.33333333333333</v>
      </c>
      <c r="I73" s="8">
        <v>118</v>
      </c>
      <c r="J73" s="8"/>
      <c r="K73" s="8">
        <v>291.6666666666667</v>
      </c>
      <c r="L73" s="8">
        <v>362</v>
      </c>
    </row>
    <row r="74" spans="1:12" ht="15.75">
      <c r="A74" s="1"/>
      <c r="B74" s="8"/>
      <c r="C74" s="7"/>
      <c r="D74" s="8"/>
      <c r="E74" s="8"/>
      <c r="F74" s="7"/>
      <c r="G74" s="8"/>
      <c r="H74" s="8"/>
      <c r="I74" s="8"/>
      <c r="J74" s="8"/>
      <c r="K74" s="8"/>
      <c r="L74" s="8"/>
    </row>
    <row r="75" spans="1:12" ht="15.75">
      <c r="A75" s="1" t="s">
        <v>71</v>
      </c>
      <c r="B75" s="8">
        <v>701</v>
      </c>
      <c r="C75" s="7">
        <v>1439</v>
      </c>
      <c r="D75" s="8"/>
      <c r="E75" s="7">
        <v>0</v>
      </c>
      <c r="F75" s="7">
        <v>0</v>
      </c>
      <c r="G75" s="8"/>
      <c r="H75" s="8">
        <v>134.33333333333334</v>
      </c>
      <c r="I75" s="8">
        <v>401</v>
      </c>
      <c r="J75" s="8"/>
      <c r="K75" s="8">
        <v>566.6666666666666</v>
      </c>
      <c r="L75" s="8">
        <v>1038</v>
      </c>
    </row>
    <row r="76" spans="1:12" ht="15.75">
      <c r="A76" s="3"/>
      <c r="B76" s="14"/>
      <c r="C76" s="15" t="s">
        <v>72</v>
      </c>
      <c r="D76" s="14"/>
      <c r="E76" s="14"/>
      <c r="F76" s="14"/>
      <c r="G76" s="14"/>
      <c r="H76" s="14"/>
      <c r="I76" s="14"/>
      <c r="J76" s="14"/>
      <c r="K76" s="14"/>
      <c r="L76" s="14"/>
    </row>
    <row r="77" spans="1:12" ht="47.25" customHeight="1">
      <c r="A77" s="28" t="s">
        <v>76</v>
      </c>
      <c r="B77" s="28"/>
      <c r="C77" s="28"/>
      <c r="D77" s="28"/>
      <c r="E77" s="28"/>
      <c r="F77" s="28"/>
      <c r="G77" s="28"/>
      <c r="H77" s="28"/>
      <c r="I77" s="28"/>
      <c r="J77" s="28"/>
      <c r="K77" s="28"/>
      <c r="L77" s="28"/>
    </row>
    <row r="78" spans="1:12" ht="15.75">
      <c r="A78" s="1"/>
      <c r="B78" s="8"/>
      <c r="C78" s="7"/>
      <c r="D78" s="8"/>
      <c r="E78" s="8"/>
      <c r="F78" s="8"/>
      <c r="G78" s="8"/>
      <c r="H78" s="8"/>
      <c r="I78" s="8"/>
      <c r="J78" s="8"/>
      <c r="K78" s="8"/>
      <c r="L78" s="8"/>
    </row>
    <row r="79" spans="1:12" ht="32.25" customHeight="1">
      <c r="A79" s="28" t="s">
        <v>77</v>
      </c>
      <c r="B79" s="28"/>
      <c r="C79" s="28"/>
      <c r="D79" s="28"/>
      <c r="E79" s="28"/>
      <c r="F79" s="28"/>
      <c r="G79" s="28"/>
      <c r="H79" s="28"/>
      <c r="I79" s="28"/>
      <c r="J79" s="28"/>
      <c r="K79" s="28"/>
      <c r="L79" s="28"/>
    </row>
    <row r="80" spans="1:12" ht="46.5" customHeight="1">
      <c r="A80" s="29" t="s">
        <v>78</v>
      </c>
      <c r="B80" s="29"/>
      <c r="C80" s="29"/>
      <c r="D80" s="29"/>
      <c r="E80" s="29"/>
      <c r="F80" s="29"/>
      <c r="G80" s="29"/>
      <c r="H80" s="29"/>
      <c r="I80" s="29"/>
      <c r="J80" s="29"/>
      <c r="K80" s="29"/>
      <c r="L80" s="29"/>
    </row>
    <row r="81" spans="1:12" ht="53.25" customHeight="1">
      <c r="A81" s="28" t="s">
        <v>79</v>
      </c>
      <c r="B81" s="28"/>
      <c r="C81" s="28"/>
      <c r="D81" s="28"/>
      <c r="E81" s="28"/>
      <c r="F81" s="28"/>
      <c r="G81" s="28"/>
      <c r="H81" s="28"/>
      <c r="I81" s="28"/>
      <c r="J81" s="28"/>
      <c r="K81" s="28"/>
      <c r="L81" s="28"/>
    </row>
    <row r="82" spans="1:12" ht="15.75">
      <c r="A82" s="1"/>
      <c r="B82" s="16"/>
      <c r="C82" s="1"/>
      <c r="D82" s="1"/>
      <c r="E82" s="1"/>
      <c r="F82" s="1"/>
      <c r="G82" s="1"/>
      <c r="H82" s="1"/>
      <c r="I82" s="1"/>
      <c r="J82" s="1"/>
      <c r="K82" s="1"/>
      <c r="L82" s="1"/>
    </row>
    <row r="83" spans="1:12" ht="15.75">
      <c r="A83" s="1" t="s">
        <v>68</v>
      </c>
      <c r="B83" s="1"/>
      <c r="C83" s="2"/>
      <c r="D83" s="1"/>
      <c r="E83" s="1"/>
      <c r="F83" s="1"/>
      <c r="G83" s="1"/>
      <c r="H83" s="1"/>
      <c r="I83" s="1"/>
      <c r="J83" s="1"/>
      <c r="K83" s="1"/>
      <c r="L83" s="1"/>
    </row>
  </sheetData>
  <sheetProtection/>
  <mergeCells count="8">
    <mergeCell ref="A80:L80"/>
    <mergeCell ref="A81:L81"/>
    <mergeCell ref="B4:C4"/>
    <mergeCell ref="E4:F4"/>
    <mergeCell ref="H4:I4"/>
    <mergeCell ref="K4:L4"/>
    <mergeCell ref="A77:L77"/>
    <mergeCell ref="A79:L79"/>
  </mergeCells>
  <printOptions/>
  <pageMargins left="0.7" right="0.7" top="0.75" bottom="0.75" header="0.3" footer="0.3"/>
  <pageSetup fitToHeight="2" fitToWidth="1" horizontalDpi="1200" verticalDpi="1200" orientation="landscape" scale="75" r:id="rId1"/>
</worksheet>
</file>

<file path=xl/worksheets/sheet5.xml><?xml version="1.0" encoding="utf-8"?>
<worksheet xmlns="http://schemas.openxmlformats.org/spreadsheetml/2006/main" xmlns:r="http://schemas.openxmlformats.org/officeDocument/2006/relationships">
  <sheetPr>
    <pageSetUpPr fitToPage="1"/>
  </sheetPr>
  <dimension ref="A1:L83"/>
  <sheetViews>
    <sheetView zoomScalePageLayoutView="0" workbookViewId="0" topLeftCell="A64">
      <selection activeCell="A77" sqref="A77:L83"/>
    </sheetView>
  </sheetViews>
  <sheetFormatPr defaultColWidth="10.77734375" defaultRowHeight="15.75"/>
  <cols>
    <col min="1" max="1" width="25.77734375" style="0" customWidth="1"/>
    <col min="2" max="3" width="10.77734375" style="0" customWidth="1"/>
    <col min="4" max="4" width="3.77734375" style="0" customWidth="1"/>
    <col min="5" max="6" width="10.77734375" style="0" customWidth="1"/>
    <col min="7" max="7" width="3.77734375" style="0" customWidth="1"/>
    <col min="8" max="9" width="10.77734375" style="0" customWidth="1"/>
    <col min="10" max="10" width="3.77734375" style="0" customWidth="1"/>
  </cols>
  <sheetData>
    <row r="1" spans="1:12" ht="20.25">
      <c r="A1" s="12" t="s">
        <v>0</v>
      </c>
      <c r="B1" s="1"/>
      <c r="C1" s="2"/>
      <c r="D1" s="1"/>
      <c r="E1" s="1"/>
      <c r="F1" s="1"/>
      <c r="G1" s="1"/>
      <c r="H1" s="1"/>
      <c r="I1" s="1"/>
      <c r="J1" s="1"/>
      <c r="K1" s="1"/>
      <c r="L1" s="1"/>
    </row>
    <row r="2" spans="1:12" ht="20.25">
      <c r="A2" s="12" t="s">
        <v>87</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74</v>
      </c>
      <c r="C4" s="30"/>
      <c r="D4" s="3"/>
      <c r="E4" s="30" t="s">
        <v>69</v>
      </c>
      <c r="F4" s="30"/>
      <c r="G4" s="3"/>
      <c r="H4" s="30" t="s">
        <v>70</v>
      </c>
      <c r="I4" s="30"/>
      <c r="J4" s="3"/>
      <c r="K4" s="30" t="s">
        <v>75</v>
      </c>
      <c r="L4" s="30"/>
    </row>
    <row r="5" spans="1:12" ht="29.25">
      <c r="A5" s="4" t="s">
        <v>1</v>
      </c>
      <c r="B5" s="17" t="s">
        <v>88</v>
      </c>
      <c r="C5" s="5">
        <v>2008</v>
      </c>
      <c r="D5" s="4"/>
      <c r="E5" s="17" t="s">
        <v>88</v>
      </c>
      <c r="F5" s="5">
        <v>2008</v>
      </c>
      <c r="G5" s="4"/>
      <c r="H5" s="17" t="s">
        <v>88</v>
      </c>
      <c r="I5" s="5">
        <v>2008</v>
      </c>
      <c r="J5" s="4"/>
      <c r="K5" s="17" t="s">
        <v>88</v>
      </c>
      <c r="L5" s="5">
        <v>2008</v>
      </c>
    </row>
    <row r="6" spans="1:12" ht="15.75">
      <c r="A6" s="1"/>
      <c r="B6" s="1"/>
      <c r="C6" s="2"/>
      <c r="D6" s="1"/>
      <c r="E6" s="1"/>
      <c r="F6" s="1"/>
      <c r="G6" s="1"/>
      <c r="H6" s="6"/>
      <c r="I6" s="1"/>
      <c r="J6" s="1"/>
      <c r="K6" s="1"/>
      <c r="L6" s="1"/>
    </row>
    <row r="7" spans="1:12" ht="15.75">
      <c r="A7" s="18" t="s">
        <v>2</v>
      </c>
      <c r="B7" s="19">
        <v>273218</v>
      </c>
      <c r="C7" s="19">
        <v>316231</v>
      </c>
      <c r="D7" s="20" t="s">
        <v>3</v>
      </c>
      <c r="E7" s="19">
        <v>1286</v>
      </c>
      <c r="F7" s="20">
        <v>1160</v>
      </c>
      <c r="G7" s="20"/>
      <c r="H7" s="19">
        <v>141356.99999999997</v>
      </c>
      <c r="I7" s="20">
        <v>134894</v>
      </c>
      <c r="J7" s="20"/>
      <c r="K7" s="19">
        <v>130575</v>
      </c>
      <c r="L7" s="20">
        <v>180177</v>
      </c>
    </row>
    <row r="8" spans="1:12" ht="15.75">
      <c r="A8" s="18"/>
      <c r="B8" s="20"/>
      <c r="C8" s="19"/>
      <c r="D8" s="20"/>
      <c r="E8" s="20"/>
      <c r="F8" s="20"/>
      <c r="G8" s="20" t="s">
        <v>3</v>
      </c>
      <c r="H8" s="20"/>
      <c r="I8" s="20"/>
      <c r="J8" s="20" t="s">
        <v>3</v>
      </c>
      <c r="K8" s="20"/>
      <c r="L8" s="20"/>
    </row>
    <row r="9" spans="1:12" ht="15.75">
      <c r="A9" s="18" t="s">
        <v>4</v>
      </c>
      <c r="B9" s="19">
        <v>75197</v>
      </c>
      <c r="C9" s="19">
        <v>76486</v>
      </c>
      <c r="D9" s="20" t="s">
        <v>3</v>
      </c>
      <c r="E9" s="19">
        <v>292.6666666666667</v>
      </c>
      <c r="F9" s="20">
        <v>278</v>
      </c>
      <c r="G9" s="20"/>
      <c r="H9" s="19">
        <v>53396.333333333336</v>
      </c>
      <c r="I9" s="20">
        <v>51346</v>
      </c>
      <c r="J9" s="20"/>
      <c r="K9" s="19">
        <v>21508</v>
      </c>
      <c r="L9" s="20">
        <v>24862</v>
      </c>
    </row>
    <row r="10" spans="1:12" ht="15.75">
      <c r="A10" s="18" t="s">
        <v>5</v>
      </c>
      <c r="B10" s="20">
        <v>11608.666666666666</v>
      </c>
      <c r="C10" s="19">
        <v>11892</v>
      </c>
      <c r="D10" s="20"/>
      <c r="E10" s="20">
        <v>37.666666666666664</v>
      </c>
      <c r="F10" s="20">
        <v>40</v>
      </c>
      <c r="G10" s="20"/>
      <c r="H10" s="20">
        <v>8444.333333333334</v>
      </c>
      <c r="I10" s="20">
        <v>8259</v>
      </c>
      <c r="J10" s="20"/>
      <c r="K10" s="20">
        <v>3126.6666666666665</v>
      </c>
      <c r="L10" s="20">
        <v>3593</v>
      </c>
    </row>
    <row r="11" spans="1:12" ht="15.75">
      <c r="A11" s="18" t="s">
        <v>6</v>
      </c>
      <c r="B11" s="20">
        <v>21596.666666666668</v>
      </c>
      <c r="C11" s="19">
        <v>23070</v>
      </c>
      <c r="D11" s="20"/>
      <c r="E11" s="20">
        <v>92.33333333333333</v>
      </c>
      <c r="F11" s="20">
        <v>91</v>
      </c>
      <c r="G11" s="20"/>
      <c r="H11" s="20">
        <v>16382.333333333334</v>
      </c>
      <c r="I11" s="20">
        <v>16345</v>
      </c>
      <c r="J11" s="20"/>
      <c r="K11" s="20">
        <v>5122</v>
      </c>
      <c r="L11" s="20">
        <v>6634</v>
      </c>
    </row>
    <row r="12" spans="1:12" ht="15.75">
      <c r="A12" s="18" t="s">
        <v>7</v>
      </c>
      <c r="B12" s="20">
        <v>15016.333333333334</v>
      </c>
      <c r="C12" s="19">
        <v>14115</v>
      </c>
      <c r="D12" s="20"/>
      <c r="E12" s="20">
        <v>63</v>
      </c>
      <c r="F12" s="20">
        <v>55</v>
      </c>
      <c r="G12" s="20"/>
      <c r="H12" s="20">
        <v>10327</v>
      </c>
      <c r="I12" s="20">
        <v>9105</v>
      </c>
      <c r="J12" s="20"/>
      <c r="K12" s="20">
        <v>4626.333333333333</v>
      </c>
      <c r="L12" s="20">
        <v>4955</v>
      </c>
    </row>
    <row r="13" spans="1:12" ht="15.75">
      <c r="A13" s="18" t="s">
        <v>8</v>
      </c>
      <c r="B13" s="20">
        <v>22189.333333333332</v>
      </c>
      <c r="C13" s="19">
        <v>22634</v>
      </c>
      <c r="D13" s="20"/>
      <c r="E13" s="20">
        <v>79.66666666666667</v>
      </c>
      <c r="F13" s="20">
        <v>76</v>
      </c>
      <c r="G13" s="20"/>
      <c r="H13" s="20">
        <v>15283.666666666666</v>
      </c>
      <c r="I13" s="20">
        <v>14840</v>
      </c>
      <c r="J13" s="20"/>
      <c r="K13" s="20">
        <v>6826</v>
      </c>
      <c r="L13" s="20">
        <v>7718</v>
      </c>
    </row>
    <row r="14" spans="1:12" ht="15.75">
      <c r="A14" s="18" t="s">
        <v>9</v>
      </c>
      <c r="B14" s="20">
        <v>4786</v>
      </c>
      <c r="C14" s="19">
        <v>4775</v>
      </c>
      <c r="D14" s="20"/>
      <c r="E14" s="20">
        <v>20</v>
      </c>
      <c r="F14" s="20">
        <v>16</v>
      </c>
      <c r="G14" s="20"/>
      <c r="H14" s="20">
        <v>2959</v>
      </c>
      <c r="I14" s="20">
        <v>2797</v>
      </c>
      <c r="J14" s="20"/>
      <c r="K14" s="20">
        <v>1807</v>
      </c>
      <c r="L14" s="20">
        <v>1962</v>
      </c>
    </row>
    <row r="15" spans="1:12" ht="15.75">
      <c r="A15" s="18"/>
      <c r="B15" s="20"/>
      <c r="C15" s="19"/>
      <c r="D15" s="20"/>
      <c r="E15" s="20"/>
      <c r="F15" s="20"/>
      <c r="G15" s="20"/>
      <c r="H15" s="20"/>
      <c r="I15" s="20"/>
      <c r="J15" s="20"/>
      <c r="K15" s="20"/>
      <c r="L15" s="20"/>
    </row>
    <row r="16" spans="1:12" ht="15.75">
      <c r="A16" s="18" t="s">
        <v>10</v>
      </c>
      <c r="B16" s="19">
        <v>198021.00000000003</v>
      </c>
      <c r="C16" s="19">
        <v>239745</v>
      </c>
      <c r="D16" s="20"/>
      <c r="E16" s="19">
        <v>993.3333333333334</v>
      </c>
      <c r="F16" s="19">
        <v>882</v>
      </c>
      <c r="G16" s="20"/>
      <c r="H16" s="19">
        <v>87960.66666666664</v>
      </c>
      <c r="I16" s="19">
        <v>83548</v>
      </c>
      <c r="J16" s="20"/>
      <c r="K16" s="19">
        <v>109067</v>
      </c>
      <c r="L16" s="19">
        <v>155315</v>
      </c>
    </row>
    <row r="17" spans="1:12" ht="15.75">
      <c r="A17" s="18" t="s">
        <v>11</v>
      </c>
      <c r="B17" s="20">
        <v>6348</v>
      </c>
      <c r="C17" s="19">
        <v>8172</v>
      </c>
      <c r="D17" s="20"/>
      <c r="E17" s="20">
        <v>19.333333333333332</v>
      </c>
      <c r="F17" s="20">
        <v>13</v>
      </c>
      <c r="G17" s="20"/>
      <c r="H17" s="20">
        <v>2632.6666666666665</v>
      </c>
      <c r="I17" s="20">
        <v>2539</v>
      </c>
      <c r="J17" s="20"/>
      <c r="K17" s="20">
        <v>3696</v>
      </c>
      <c r="L17" s="20">
        <v>5620</v>
      </c>
    </row>
    <row r="18" spans="1:12" ht="15.75">
      <c r="A18" s="18" t="s">
        <v>12</v>
      </c>
      <c r="B18" s="20">
        <v>781</v>
      </c>
      <c r="C18" s="19">
        <v>1010</v>
      </c>
      <c r="D18" s="20"/>
      <c r="E18" s="20">
        <v>8.333333333333334</v>
      </c>
      <c r="F18" s="20">
        <v>6</v>
      </c>
      <c r="G18" s="20"/>
      <c r="H18" s="20">
        <v>286.6666666666667</v>
      </c>
      <c r="I18" s="20">
        <v>273</v>
      </c>
      <c r="J18" s="20"/>
      <c r="K18" s="20">
        <v>486</v>
      </c>
      <c r="L18" s="20">
        <v>731</v>
      </c>
    </row>
    <row r="19" spans="1:12" ht="15.75">
      <c r="A19" s="18" t="s">
        <v>13</v>
      </c>
      <c r="B19" s="20">
        <v>3161</v>
      </c>
      <c r="C19" s="19">
        <v>4267</v>
      </c>
      <c r="D19" s="20"/>
      <c r="E19" s="20">
        <v>16.333333333333332</v>
      </c>
      <c r="F19" s="20">
        <v>5</v>
      </c>
      <c r="G19" s="20"/>
      <c r="H19" s="20">
        <v>1298.3333333333333</v>
      </c>
      <c r="I19" s="20">
        <v>1306</v>
      </c>
      <c r="J19" s="20"/>
      <c r="K19" s="20">
        <v>1846.3333333333333</v>
      </c>
      <c r="L19" s="20">
        <v>2956</v>
      </c>
    </row>
    <row r="20" spans="1:12" ht="15.75">
      <c r="A20" s="18" t="s">
        <v>14</v>
      </c>
      <c r="B20" s="20">
        <v>1399.3333333333333</v>
      </c>
      <c r="C20" s="19">
        <v>1796</v>
      </c>
      <c r="D20" s="20"/>
      <c r="E20" s="20">
        <v>12</v>
      </c>
      <c r="F20" s="20">
        <v>6</v>
      </c>
      <c r="G20" s="20"/>
      <c r="H20" s="20">
        <v>549.3333333333334</v>
      </c>
      <c r="I20" s="20">
        <v>543</v>
      </c>
      <c r="J20" s="20"/>
      <c r="K20" s="20">
        <v>838</v>
      </c>
      <c r="L20" s="20">
        <v>1247</v>
      </c>
    </row>
    <row r="21" spans="1:12" ht="15.75">
      <c r="A21" s="18" t="s">
        <v>15</v>
      </c>
      <c r="B21" s="20">
        <v>1375.3333333333333</v>
      </c>
      <c r="C21" s="19">
        <v>1735</v>
      </c>
      <c r="D21" s="20"/>
      <c r="E21" s="20">
        <v>7</v>
      </c>
      <c r="F21" s="20">
        <v>13</v>
      </c>
      <c r="G21" s="20"/>
      <c r="H21" s="20">
        <v>532.3333333333334</v>
      </c>
      <c r="I21" s="20">
        <v>525</v>
      </c>
      <c r="J21" s="20"/>
      <c r="K21" s="20">
        <v>836</v>
      </c>
      <c r="L21" s="20">
        <v>1197</v>
      </c>
    </row>
    <row r="22" spans="1:12" ht="15.75">
      <c r="A22" s="18" t="s">
        <v>16</v>
      </c>
      <c r="B22" s="20">
        <v>2297.3333333333335</v>
      </c>
      <c r="C22" s="19">
        <v>2853</v>
      </c>
      <c r="D22" s="20"/>
      <c r="E22" s="20">
        <v>16.333333333333332</v>
      </c>
      <c r="F22" s="20">
        <v>10</v>
      </c>
      <c r="G22" s="20"/>
      <c r="H22" s="20">
        <v>928.6666666666666</v>
      </c>
      <c r="I22" s="20">
        <v>800</v>
      </c>
      <c r="J22" s="20"/>
      <c r="K22" s="20">
        <v>1352.3333333333333</v>
      </c>
      <c r="L22" s="20">
        <v>2043</v>
      </c>
    </row>
    <row r="23" spans="1:12" ht="15.75">
      <c r="A23" s="18" t="s">
        <v>17</v>
      </c>
      <c r="B23" s="20">
        <v>1275</v>
      </c>
      <c r="C23" s="19">
        <v>1716</v>
      </c>
      <c r="D23" s="20"/>
      <c r="E23" s="20">
        <v>8</v>
      </c>
      <c r="F23" s="20">
        <v>6</v>
      </c>
      <c r="G23" s="20"/>
      <c r="H23" s="20">
        <v>552</v>
      </c>
      <c r="I23" s="20">
        <v>518</v>
      </c>
      <c r="J23" s="20"/>
      <c r="K23" s="20">
        <v>715</v>
      </c>
      <c r="L23" s="20">
        <v>1192</v>
      </c>
    </row>
    <row r="24" spans="1:12" ht="15.75">
      <c r="A24" s="18" t="s">
        <v>18</v>
      </c>
      <c r="B24" s="20">
        <v>857.6666666666666</v>
      </c>
      <c r="C24" s="19">
        <v>1224</v>
      </c>
      <c r="D24" s="20"/>
      <c r="E24" s="20">
        <v>5</v>
      </c>
      <c r="F24" s="20">
        <v>9</v>
      </c>
      <c r="G24" s="20"/>
      <c r="H24" s="20">
        <v>319.6666666666667</v>
      </c>
      <c r="I24" s="20">
        <v>302</v>
      </c>
      <c r="J24" s="20"/>
      <c r="K24" s="20">
        <v>533</v>
      </c>
      <c r="L24" s="20">
        <v>913</v>
      </c>
    </row>
    <row r="25" spans="1:12" ht="15.75">
      <c r="A25" s="18" t="s">
        <v>19</v>
      </c>
      <c r="B25" s="20">
        <v>1369.3333333333333</v>
      </c>
      <c r="C25" s="19">
        <v>1711</v>
      </c>
      <c r="D25" s="20"/>
      <c r="E25" s="20">
        <v>10</v>
      </c>
      <c r="F25" s="20">
        <v>2</v>
      </c>
      <c r="G25" s="20"/>
      <c r="H25" s="20">
        <v>510.3333333333333</v>
      </c>
      <c r="I25" s="20">
        <v>422</v>
      </c>
      <c r="J25" s="20"/>
      <c r="K25" s="20">
        <v>849</v>
      </c>
      <c r="L25" s="20">
        <v>1287</v>
      </c>
    </row>
    <row r="26" spans="1:12" ht="15.75">
      <c r="A26" s="18" t="s">
        <v>20</v>
      </c>
      <c r="B26" s="20">
        <v>1118</v>
      </c>
      <c r="C26" s="19">
        <v>1380</v>
      </c>
      <c r="D26" s="20"/>
      <c r="E26" s="20">
        <v>8</v>
      </c>
      <c r="F26" s="20">
        <v>10</v>
      </c>
      <c r="G26" s="20"/>
      <c r="H26" s="20">
        <v>433</v>
      </c>
      <c r="I26" s="20">
        <v>417</v>
      </c>
      <c r="J26" s="20"/>
      <c r="K26" s="20">
        <v>677</v>
      </c>
      <c r="L26" s="20">
        <v>953</v>
      </c>
    </row>
    <row r="27" spans="1:12" ht="15.75">
      <c r="A27" s="18" t="s">
        <v>21</v>
      </c>
      <c r="B27" s="20">
        <v>935</v>
      </c>
      <c r="C27" s="19">
        <v>1276</v>
      </c>
      <c r="D27" s="20"/>
      <c r="E27" s="20">
        <v>7</v>
      </c>
      <c r="F27" s="20">
        <v>4</v>
      </c>
      <c r="G27" s="20"/>
      <c r="H27" s="20">
        <v>348</v>
      </c>
      <c r="I27" s="20">
        <v>340</v>
      </c>
      <c r="J27" s="20"/>
      <c r="K27" s="20">
        <v>580</v>
      </c>
      <c r="L27" s="20">
        <v>932</v>
      </c>
    </row>
    <row r="28" spans="1:12" ht="15.75">
      <c r="A28" s="18" t="s">
        <v>22</v>
      </c>
      <c r="B28" s="20">
        <v>885</v>
      </c>
      <c r="C28" s="19">
        <v>1218</v>
      </c>
      <c r="D28" s="20"/>
      <c r="E28" s="20">
        <v>9.333333333333334</v>
      </c>
      <c r="F28" s="20">
        <v>6</v>
      </c>
      <c r="G28" s="20"/>
      <c r="H28" s="20">
        <v>338.3333333333333</v>
      </c>
      <c r="I28" s="20">
        <v>338</v>
      </c>
      <c r="J28" s="20"/>
      <c r="K28" s="20">
        <v>537.3333333333334</v>
      </c>
      <c r="L28" s="20">
        <v>874</v>
      </c>
    </row>
    <row r="29" spans="1:12" ht="15.75">
      <c r="A29" s="18" t="s">
        <v>23</v>
      </c>
      <c r="B29" s="20">
        <v>5634.666666666667</v>
      </c>
      <c r="C29" s="19">
        <v>6635</v>
      </c>
      <c r="D29" s="20"/>
      <c r="E29" s="20">
        <v>23.666666666666668</v>
      </c>
      <c r="F29" s="20">
        <v>17</v>
      </c>
      <c r="G29" s="20"/>
      <c r="H29" s="20">
        <v>2343.6666666666665</v>
      </c>
      <c r="I29" s="20">
        <v>2101</v>
      </c>
      <c r="J29" s="20"/>
      <c r="K29" s="20">
        <v>3267.3333333333335</v>
      </c>
      <c r="L29" s="20">
        <v>4517</v>
      </c>
    </row>
    <row r="30" spans="1:12" ht="15.75">
      <c r="A30" s="18" t="s">
        <v>24</v>
      </c>
      <c r="B30" s="20">
        <v>14414.333333333334</v>
      </c>
      <c r="C30" s="19">
        <v>16417</v>
      </c>
      <c r="D30" s="20"/>
      <c r="E30" s="20">
        <v>53.333333333333336</v>
      </c>
      <c r="F30" s="20">
        <v>59</v>
      </c>
      <c r="G30" s="20"/>
      <c r="H30" s="20">
        <v>7412</v>
      </c>
      <c r="I30" s="20">
        <v>6987</v>
      </c>
      <c r="J30" s="20"/>
      <c r="K30" s="20">
        <v>6949</v>
      </c>
      <c r="L30" s="20">
        <v>9371</v>
      </c>
    </row>
    <row r="31" spans="1:12" ht="15.75">
      <c r="A31" s="18" t="s">
        <v>25</v>
      </c>
      <c r="B31" s="20">
        <v>797.6666666666666</v>
      </c>
      <c r="C31" s="19">
        <v>1075</v>
      </c>
      <c r="D31" s="20"/>
      <c r="E31" s="20">
        <v>9.666666666666666</v>
      </c>
      <c r="F31" s="20">
        <v>2</v>
      </c>
      <c r="G31" s="20"/>
      <c r="H31" s="20">
        <v>266.6666666666667</v>
      </c>
      <c r="I31" s="20">
        <v>278</v>
      </c>
      <c r="J31" s="20"/>
      <c r="K31" s="20">
        <v>521.3333333333334</v>
      </c>
      <c r="L31" s="20">
        <v>795</v>
      </c>
    </row>
    <row r="32" spans="1:12" ht="15.75">
      <c r="A32" s="18" t="s">
        <v>26</v>
      </c>
      <c r="B32" s="20">
        <v>920.6666666666666</v>
      </c>
      <c r="C32" s="19">
        <v>1116</v>
      </c>
      <c r="D32" s="20"/>
      <c r="E32" s="20">
        <v>4.333333333333333</v>
      </c>
      <c r="F32" s="20">
        <v>9</v>
      </c>
      <c r="G32" s="20"/>
      <c r="H32" s="20">
        <v>320.6666666666667</v>
      </c>
      <c r="I32" s="20">
        <v>310</v>
      </c>
      <c r="J32" s="20"/>
      <c r="K32" s="20">
        <v>595.6666666666666</v>
      </c>
      <c r="L32" s="20">
        <v>797</v>
      </c>
    </row>
    <row r="33" spans="1:12" ht="15.75">
      <c r="A33" s="18" t="s">
        <v>27</v>
      </c>
      <c r="B33" s="20">
        <v>826</v>
      </c>
      <c r="C33" s="19">
        <v>1025</v>
      </c>
      <c r="D33" s="20"/>
      <c r="E33" s="20">
        <v>9.333333333333334</v>
      </c>
      <c r="F33" s="20">
        <v>3</v>
      </c>
      <c r="G33" s="20"/>
      <c r="H33" s="20">
        <v>358</v>
      </c>
      <c r="I33" s="20">
        <v>342</v>
      </c>
      <c r="J33" s="20"/>
      <c r="K33" s="20">
        <v>458.6666666666667</v>
      </c>
      <c r="L33" s="20">
        <v>680</v>
      </c>
    </row>
    <row r="34" spans="1:12" ht="15.75">
      <c r="A34" s="18" t="s">
        <v>28</v>
      </c>
      <c r="B34" s="20">
        <v>1438</v>
      </c>
      <c r="C34" s="19">
        <v>1974</v>
      </c>
      <c r="D34" s="20"/>
      <c r="E34" s="20">
        <v>10.666666666666666</v>
      </c>
      <c r="F34" s="20">
        <v>6</v>
      </c>
      <c r="G34" s="20"/>
      <c r="H34" s="20">
        <v>528.3333333333334</v>
      </c>
      <c r="I34" s="20">
        <v>514</v>
      </c>
      <c r="J34" s="20"/>
      <c r="K34" s="20">
        <v>899</v>
      </c>
      <c r="L34" s="20">
        <v>1454</v>
      </c>
    </row>
    <row r="35" spans="1:12" ht="15.75">
      <c r="A35" s="18" t="s">
        <v>29</v>
      </c>
      <c r="B35" s="20">
        <v>959</v>
      </c>
      <c r="C35" s="19">
        <v>1286</v>
      </c>
      <c r="D35" s="20"/>
      <c r="E35" s="20">
        <v>8</v>
      </c>
      <c r="F35" s="20">
        <v>7</v>
      </c>
      <c r="G35" s="20"/>
      <c r="H35" s="20">
        <v>371</v>
      </c>
      <c r="I35" s="20">
        <v>370</v>
      </c>
      <c r="J35" s="20"/>
      <c r="K35" s="20">
        <v>580</v>
      </c>
      <c r="L35" s="20">
        <v>909</v>
      </c>
    </row>
    <row r="36" spans="1:12" ht="15.75">
      <c r="A36" s="18" t="s">
        <v>30</v>
      </c>
      <c r="B36" s="20">
        <v>166.66666666666666</v>
      </c>
      <c r="C36" s="19">
        <v>182</v>
      </c>
      <c r="D36" s="20"/>
      <c r="E36" s="20">
        <v>0.6666666666666666</v>
      </c>
      <c r="F36" s="19">
        <v>2</v>
      </c>
      <c r="G36" s="20"/>
      <c r="H36" s="20">
        <v>44.333333333333336</v>
      </c>
      <c r="I36" s="20">
        <v>33</v>
      </c>
      <c r="J36" s="20"/>
      <c r="K36" s="20">
        <v>121.66666666666667</v>
      </c>
      <c r="L36" s="20">
        <v>147</v>
      </c>
    </row>
    <row r="37" spans="1:12" ht="15.75">
      <c r="A37" s="18" t="s">
        <v>31</v>
      </c>
      <c r="B37" s="20">
        <v>923.6666666666666</v>
      </c>
      <c r="C37" s="19">
        <v>1074</v>
      </c>
      <c r="D37" s="20"/>
      <c r="E37" s="20">
        <v>4</v>
      </c>
      <c r="F37" s="20">
        <v>13</v>
      </c>
      <c r="G37" s="20"/>
      <c r="H37" s="20">
        <v>355</v>
      </c>
      <c r="I37" s="20">
        <v>296</v>
      </c>
      <c r="J37" s="20"/>
      <c r="K37" s="20">
        <v>564.6666666666666</v>
      </c>
      <c r="L37" s="20">
        <v>765</v>
      </c>
    </row>
    <row r="38" spans="1:12" ht="15.75">
      <c r="A38" s="18" t="s">
        <v>32</v>
      </c>
      <c r="B38" s="20">
        <v>1750.6666666666667</v>
      </c>
      <c r="C38" s="19">
        <v>2403</v>
      </c>
      <c r="D38" s="20"/>
      <c r="E38" s="20">
        <v>12.333333333333334</v>
      </c>
      <c r="F38" s="20">
        <v>13</v>
      </c>
      <c r="G38" s="20"/>
      <c r="H38" s="20">
        <v>729</v>
      </c>
      <c r="I38" s="20">
        <v>750</v>
      </c>
      <c r="J38" s="20"/>
      <c r="K38" s="20">
        <v>1009.3333333333334</v>
      </c>
      <c r="L38" s="20">
        <v>1640</v>
      </c>
    </row>
    <row r="39" spans="1:12" ht="15.75">
      <c r="A39" s="18" t="s">
        <v>33</v>
      </c>
      <c r="B39" s="20">
        <v>444</v>
      </c>
      <c r="C39" s="19">
        <v>579</v>
      </c>
      <c r="D39" s="20"/>
      <c r="E39" s="20">
        <v>7.666666666666667</v>
      </c>
      <c r="F39" s="20">
        <v>5</v>
      </c>
      <c r="G39" s="20"/>
      <c r="H39" s="20">
        <v>142</v>
      </c>
      <c r="I39" s="20">
        <v>157</v>
      </c>
      <c r="J39" s="20"/>
      <c r="K39" s="20">
        <v>294.3333333333333</v>
      </c>
      <c r="L39" s="20">
        <v>417</v>
      </c>
    </row>
    <row r="40" spans="1:12" ht="15.75">
      <c r="A40" s="18" t="s">
        <v>34</v>
      </c>
      <c r="B40" s="20">
        <v>1166.3333333333333</v>
      </c>
      <c r="C40" s="19">
        <v>1566</v>
      </c>
      <c r="D40" s="20"/>
      <c r="E40" s="20">
        <v>7.666666666666667</v>
      </c>
      <c r="F40" s="20">
        <v>9</v>
      </c>
      <c r="G40" s="20"/>
      <c r="H40" s="20">
        <v>373</v>
      </c>
      <c r="I40" s="20">
        <v>392</v>
      </c>
      <c r="J40" s="20"/>
      <c r="K40" s="20">
        <v>785.6666666666666</v>
      </c>
      <c r="L40" s="20">
        <v>1165</v>
      </c>
    </row>
    <row r="41" spans="1:12" ht="15.75">
      <c r="A41" s="18" t="s">
        <v>35</v>
      </c>
      <c r="B41" s="20">
        <v>1249.6666666666667</v>
      </c>
      <c r="C41" s="19">
        <v>1532</v>
      </c>
      <c r="D41" s="20"/>
      <c r="E41" s="20">
        <v>8</v>
      </c>
      <c r="F41" s="20">
        <v>8</v>
      </c>
      <c r="G41" s="20"/>
      <c r="H41" s="20">
        <v>455.6666666666667</v>
      </c>
      <c r="I41" s="20">
        <v>392</v>
      </c>
      <c r="J41" s="20"/>
      <c r="K41" s="20">
        <v>786</v>
      </c>
      <c r="L41" s="20">
        <v>1132</v>
      </c>
    </row>
    <row r="42" spans="1:12" ht="15.75">
      <c r="A42" s="18" t="s">
        <v>36</v>
      </c>
      <c r="B42" s="20">
        <v>12412.666666666666</v>
      </c>
      <c r="C42" s="19">
        <v>14785</v>
      </c>
      <c r="D42" s="20"/>
      <c r="E42" s="20">
        <v>45.333333333333336</v>
      </c>
      <c r="F42" s="20">
        <v>28</v>
      </c>
      <c r="G42" s="20"/>
      <c r="H42" s="20">
        <v>5282.666666666667</v>
      </c>
      <c r="I42" s="20">
        <v>5126</v>
      </c>
      <c r="J42" s="20"/>
      <c r="K42" s="20">
        <v>7084.666666666667</v>
      </c>
      <c r="L42" s="20">
        <v>9631</v>
      </c>
    </row>
    <row r="43" spans="1:12" ht="15.75">
      <c r="A43" s="18" t="s">
        <v>37</v>
      </c>
      <c r="B43" s="20">
        <v>927.3333333333334</v>
      </c>
      <c r="C43" s="19">
        <v>1208</v>
      </c>
      <c r="D43" s="20"/>
      <c r="E43" s="20">
        <v>6.666666666666667</v>
      </c>
      <c r="F43" s="20">
        <v>6</v>
      </c>
      <c r="G43" s="20"/>
      <c r="H43" s="20">
        <v>346</v>
      </c>
      <c r="I43" s="20">
        <v>327</v>
      </c>
      <c r="J43" s="20"/>
      <c r="K43" s="20">
        <v>574.6666666666666</v>
      </c>
      <c r="L43" s="20">
        <v>875</v>
      </c>
    </row>
    <row r="44" spans="1:12" ht="15.75">
      <c r="A44" s="18" t="s">
        <v>38</v>
      </c>
      <c r="B44" s="20">
        <v>28683</v>
      </c>
      <c r="C44" s="19">
        <v>32357</v>
      </c>
      <c r="D44" s="20"/>
      <c r="E44" s="20">
        <v>91</v>
      </c>
      <c r="F44" s="20">
        <v>93</v>
      </c>
      <c r="G44" s="20"/>
      <c r="H44" s="20">
        <v>13974.333333333334</v>
      </c>
      <c r="I44" s="20">
        <v>13010</v>
      </c>
      <c r="J44" s="20"/>
      <c r="K44" s="20">
        <v>14617.666666666666</v>
      </c>
      <c r="L44" s="20">
        <v>19254</v>
      </c>
    </row>
    <row r="45" spans="1:12" ht="15.75">
      <c r="A45" s="18" t="s">
        <v>39</v>
      </c>
      <c r="B45" s="20">
        <v>3075.3333333333335</v>
      </c>
      <c r="C45" s="19">
        <v>3538</v>
      </c>
      <c r="D45" s="20"/>
      <c r="E45" s="20">
        <v>17.333333333333332</v>
      </c>
      <c r="F45" s="20">
        <v>18</v>
      </c>
      <c r="G45" s="20"/>
      <c r="H45" s="20">
        <v>1477.3333333333333</v>
      </c>
      <c r="I45" s="20">
        <v>1269</v>
      </c>
      <c r="J45" s="20"/>
      <c r="K45" s="20">
        <v>1580.6666666666667</v>
      </c>
      <c r="L45" s="20">
        <v>2251</v>
      </c>
    </row>
    <row r="46" spans="1:12" ht="15.75">
      <c r="A46" s="18" t="s">
        <v>40</v>
      </c>
      <c r="B46" s="20">
        <v>4045.6666666666665</v>
      </c>
      <c r="C46" s="19">
        <v>4906</v>
      </c>
      <c r="D46" s="20"/>
      <c r="E46" s="20">
        <v>20.333333333333332</v>
      </c>
      <c r="F46" s="20">
        <v>18</v>
      </c>
      <c r="G46" s="20"/>
      <c r="H46" s="20">
        <v>1672.6666666666667</v>
      </c>
      <c r="I46" s="20">
        <v>1491</v>
      </c>
      <c r="J46" s="20"/>
      <c r="K46" s="20">
        <v>2352.6666666666665</v>
      </c>
      <c r="L46" s="20">
        <v>3397</v>
      </c>
    </row>
    <row r="47" spans="1:12" ht="15.75">
      <c r="A47" s="18" t="s">
        <v>41</v>
      </c>
      <c r="B47" s="20">
        <v>8482.333333333334</v>
      </c>
      <c r="C47" s="19">
        <v>10279</v>
      </c>
      <c r="D47" s="20"/>
      <c r="E47" s="20">
        <v>32</v>
      </c>
      <c r="F47" s="20">
        <v>30</v>
      </c>
      <c r="G47" s="20"/>
      <c r="H47" s="20">
        <v>3463.3333333333335</v>
      </c>
      <c r="I47" s="20">
        <v>3263</v>
      </c>
      <c r="J47" s="20"/>
      <c r="K47" s="20">
        <v>4987</v>
      </c>
      <c r="L47" s="20">
        <v>6986</v>
      </c>
    </row>
    <row r="48" spans="1:12" ht="15.75">
      <c r="A48" s="18" t="s">
        <v>42</v>
      </c>
      <c r="B48" s="20">
        <v>1885.6666666666667</v>
      </c>
      <c r="C48" s="19">
        <v>2380</v>
      </c>
      <c r="D48" s="20"/>
      <c r="E48" s="20">
        <v>15.333333333333334</v>
      </c>
      <c r="F48" s="20">
        <v>9</v>
      </c>
      <c r="G48" s="20"/>
      <c r="H48" s="20">
        <v>695</v>
      </c>
      <c r="I48" s="20">
        <v>692</v>
      </c>
      <c r="J48" s="20"/>
      <c r="K48" s="20">
        <v>1175.3333333333333</v>
      </c>
      <c r="L48" s="20">
        <v>1679</v>
      </c>
    </row>
    <row r="49" spans="1:12" ht="15.75">
      <c r="A49" s="18" t="s">
        <v>43</v>
      </c>
      <c r="B49" s="20">
        <v>7715.666666666667</v>
      </c>
      <c r="C49" s="19">
        <v>9914</v>
      </c>
      <c r="D49" s="20"/>
      <c r="E49" s="20">
        <v>43</v>
      </c>
      <c r="F49" s="20">
        <v>40</v>
      </c>
      <c r="G49" s="20"/>
      <c r="H49" s="20">
        <v>3283.6666666666665</v>
      </c>
      <c r="I49" s="20">
        <v>3152</v>
      </c>
      <c r="J49" s="20"/>
      <c r="K49" s="20">
        <v>4389</v>
      </c>
      <c r="L49" s="20">
        <v>6722</v>
      </c>
    </row>
    <row r="50" spans="1:12" ht="15.75">
      <c r="A50" s="18" t="s">
        <v>44</v>
      </c>
      <c r="B50" s="20">
        <v>563.6666666666666</v>
      </c>
      <c r="C50" s="19">
        <v>742</v>
      </c>
      <c r="D50" s="20"/>
      <c r="E50" s="20">
        <v>5.333333333333333</v>
      </c>
      <c r="F50" s="20">
        <v>7</v>
      </c>
      <c r="G50" s="20"/>
      <c r="H50" s="20">
        <v>213.33333333333334</v>
      </c>
      <c r="I50" s="20">
        <v>210</v>
      </c>
      <c r="J50" s="20"/>
      <c r="K50" s="20">
        <v>345</v>
      </c>
      <c r="L50" s="20">
        <v>525</v>
      </c>
    </row>
    <row r="51" spans="1:12" ht="15.75">
      <c r="A51" s="18" t="s">
        <v>45</v>
      </c>
      <c r="B51" s="20">
        <v>1809.3333333333333</v>
      </c>
      <c r="C51" s="19">
        <v>2228</v>
      </c>
      <c r="D51" s="20"/>
      <c r="E51" s="20">
        <v>17.666666666666668</v>
      </c>
      <c r="F51" s="20">
        <v>10</v>
      </c>
      <c r="G51" s="20"/>
      <c r="H51" s="20">
        <v>782.6666666666666</v>
      </c>
      <c r="I51" s="20">
        <v>653</v>
      </c>
      <c r="J51" s="20"/>
      <c r="K51" s="20">
        <v>1009</v>
      </c>
      <c r="L51" s="20">
        <v>1565</v>
      </c>
    </row>
    <row r="52" spans="1:12" ht="15.75">
      <c r="A52" s="18" t="s">
        <v>46</v>
      </c>
      <c r="B52" s="20">
        <v>1218</v>
      </c>
      <c r="C52" s="19">
        <v>1586</v>
      </c>
      <c r="D52" s="20"/>
      <c r="E52" s="20">
        <v>10</v>
      </c>
      <c r="F52" s="20">
        <v>6</v>
      </c>
      <c r="G52" s="20"/>
      <c r="H52" s="20">
        <v>426.6666666666667</v>
      </c>
      <c r="I52" s="20">
        <v>378</v>
      </c>
      <c r="J52" s="20"/>
      <c r="K52" s="20">
        <v>781.3333333333334</v>
      </c>
      <c r="L52" s="20">
        <v>1202</v>
      </c>
    </row>
    <row r="53" spans="1:12" ht="15.75">
      <c r="A53" s="18" t="s">
        <v>47</v>
      </c>
      <c r="B53" s="20">
        <v>2165.3333333333335</v>
      </c>
      <c r="C53" s="19">
        <v>2588</v>
      </c>
      <c r="D53" s="20"/>
      <c r="E53" s="20">
        <v>12.666666666666666</v>
      </c>
      <c r="F53" s="20">
        <v>10</v>
      </c>
      <c r="G53" s="20"/>
      <c r="H53" s="20">
        <v>854.6666666666666</v>
      </c>
      <c r="I53" s="20">
        <v>769</v>
      </c>
      <c r="J53" s="20"/>
      <c r="K53" s="20">
        <v>1298</v>
      </c>
      <c r="L53" s="20">
        <v>1809</v>
      </c>
    </row>
    <row r="54" spans="1:12" ht="15.75">
      <c r="A54" s="18" t="s">
        <v>48</v>
      </c>
      <c r="B54" s="20">
        <v>2219.6666666666665</v>
      </c>
      <c r="C54" s="19">
        <v>2828</v>
      </c>
      <c r="D54" s="20"/>
      <c r="E54" s="20">
        <v>12.333333333333334</v>
      </c>
      <c r="F54" s="20">
        <v>12</v>
      </c>
      <c r="G54" s="20"/>
      <c r="H54" s="20">
        <v>991.3333333333334</v>
      </c>
      <c r="I54" s="20">
        <v>997</v>
      </c>
      <c r="J54" s="20"/>
      <c r="K54" s="20">
        <v>1216</v>
      </c>
      <c r="L54" s="20">
        <v>1819</v>
      </c>
    </row>
    <row r="55" spans="1:12" ht="15.75">
      <c r="A55" s="18" t="s">
        <v>49</v>
      </c>
      <c r="B55" s="20">
        <v>5367</v>
      </c>
      <c r="C55" s="19">
        <v>6182</v>
      </c>
      <c r="D55" s="20"/>
      <c r="E55" s="20">
        <v>22.333333333333332</v>
      </c>
      <c r="F55" s="20">
        <v>16</v>
      </c>
      <c r="G55" s="20"/>
      <c r="H55" s="20">
        <v>2515.6666666666665</v>
      </c>
      <c r="I55" s="20">
        <v>2286</v>
      </c>
      <c r="J55" s="20"/>
      <c r="K55" s="20">
        <v>2829</v>
      </c>
      <c r="L55" s="20">
        <v>3880</v>
      </c>
    </row>
    <row r="56" spans="1:12" ht="15.75">
      <c r="A56" s="18" t="s">
        <v>50</v>
      </c>
      <c r="B56" s="20">
        <v>1885</v>
      </c>
      <c r="C56" s="19">
        <v>2568</v>
      </c>
      <c r="D56" s="20"/>
      <c r="E56" s="20">
        <v>13.666666666666666</v>
      </c>
      <c r="F56" s="20">
        <v>11</v>
      </c>
      <c r="G56" s="20"/>
      <c r="H56" s="20">
        <v>577</v>
      </c>
      <c r="I56" s="20">
        <v>555</v>
      </c>
      <c r="J56" s="20"/>
      <c r="K56" s="20">
        <v>1294.3333333333333</v>
      </c>
      <c r="L56" s="20">
        <v>2002</v>
      </c>
    </row>
    <row r="57" spans="1:12" ht="15.75">
      <c r="A57" s="18" t="s">
        <v>51</v>
      </c>
      <c r="B57" s="20">
        <v>3309</v>
      </c>
      <c r="C57" s="19">
        <v>4576</v>
      </c>
      <c r="D57" s="20"/>
      <c r="E57" s="20">
        <v>19</v>
      </c>
      <c r="F57" s="20">
        <v>20</v>
      </c>
      <c r="G57" s="20"/>
      <c r="H57" s="20">
        <v>1239.6666666666667</v>
      </c>
      <c r="I57" s="20">
        <v>1239</v>
      </c>
      <c r="J57" s="20"/>
      <c r="K57" s="20">
        <v>2050.3333333333335</v>
      </c>
      <c r="L57" s="20">
        <v>3317</v>
      </c>
    </row>
    <row r="58" spans="1:12" ht="15.75">
      <c r="A58" s="18" t="s">
        <v>52</v>
      </c>
      <c r="B58" s="20">
        <v>2604</v>
      </c>
      <c r="C58" s="19">
        <v>3371</v>
      </c>
      <c r="D58" s="20"/>
      <c r="E58" s="20">
        <v>8.333333333333334</v>
      </c>
      <c r="F58" s="20">
        <v>7</v>
      </c>
      <c r="G58" s="20"/>
      <c r="H58" s="20">
        <v>1113</v>
      </c>
      <c r="I58" s="20">
        <v>1076</v>
      </c>
      <c r="J58" s="20"/>
      <c r="K58" s="20">
        <v>1482.6666666666667</v>
      </c>
      <c r="L58" s="20">
        <v>2288</v>
      </c>
    </row>
    <row r="59" spans="1:12" ht="15.75">
      <c r="A59" s="18" t="s">
        <v>53</v>
      </c>
      <c r="B59" s="20">
        <v>563</v>
      </c>
      <c r="C59" s="19">
        <v>724</v>
      </c>
      <c r="D59" s="20"/>
      <c r="E59" s="20">
        <v>4</v>
      </c>
      <c r="F59" s="19">
        <v>0</v>
      </c>
      <c r="G59" s="20"/>
      <c r="H59" s="20">
        <v>214.33333333333334</v>
      </c>
      <c r="I59" s="20">
        <v>203</v>
      </c>
      <c r="J59" s="20"/>
      <c r="K59" s="20">
        <v>344.6666666666667</v>
      </c>
      <c r="L59" s="20">
        <v>521</v>
      </c>
    </row>
    <row r="60" spans="1:12" ht="15.75">
      <c r="A60" s="18" t="s">
        <v>54</v>
      </c>
      <c r="B60" s="20">
        <v>410</v>
      </c>
      <c r="C60" s="19">
        <v>555</v>
      </c>
      <c r="D60" s="20"/>
      <c r="E60" s="20">
        <v>1.3333333333333333</v>
      </c>
      <c r="F60" s="19">
        <v>0</v>
      </c>
      <c r="G60" s="20"/>
      <c r="H60" s="20">
        <v>132.66666666666666</v>
      </c>
      <c r="I60" s="20">
        <v>135</v>
      </c>
      <c r="J60" s="20"/>
      <c r="K60" s="20">
        <v>276</v>
      </c>
      <c r="L60" s="20">
        <v>420</v>
      </c>
    </row>
    <row r="61" spans="1:12" ht="15.75">
      <c r="A61" s="18" t="s">
        <v>55</v>
      </c>
      <c r="B61" s="20">
        <v>590</v>
      </c>
      <c r="C61" s="19">
        <v>702</v>
      </c>
      <c r="D61" s="20"/>
      <c r="E61" s="20">
        <v>7.333333333333333</v>
      </c>
      <c r="F61" s="19">
        <v>0</v>
      </c>
      <c r="G61" s="20"/>
      <c r="H61" s="20">
        <v>231.66666666666666</v>
      </c>
      <c r="I61" s="20">
        <v>217</v>
      </c>
      <c r="J61" s="20"/>
      <c r="K61" s="20">
        <v>351</v>
      </c>
      <c r="L61" s="20">
        <v>485</v>
      </c>
    </row>
    <row r="62" spans="1:12" ht="15.75">
      <c r="A62" s="18" t="s">
        <v>56</v>
      </c>
      <c r="B62" s="20">
        <v>1630.3333333333333</v>
      </c>
      <c r="C62" s="19">
        <v>2167</v>
      </c>
      <c r="D62" s="20"/>
      <c r="E62" s="20">
        <v>15</v>
      </c>
      <c r="F62" s="20">
        <v>10</v>
      </c>
      <c r="G62" s="20"/>
      <c r="H62" s="20">
        <v>605.6666666666666</v>
      </c>
      <c r="I62" s="20">
        <v>576</v>
      </c>
      <c r="J62" s="20"/>
      <c r="K62" s="20">
        <v>1009.6666666666666</v>
      </c>
      <c r="L62" s="20">
        <v>1581</v>
      </c>
    </row>
    <row r="63" spans="1:12" ht="15.75">
      <c r="A63" s="18" t="s">
        <v>57</v>
      </c>
      <c r="B63" s="20">
        <v>26517.333333333332</v>
      </c>
      <c r="C63" s="19">
        <v>31239</v>
      </c>
      <c r="D63" s="20"/>
      <c r="E63" s="20">
        <v>150</v>
      </c>
      <c r="F63" s="20">
        <v>153</v>
      </c>
      <c r="G63" s="20"/>
      <c r="H63" s="20">
        <v>13668.666666666666</v>
      </c>
      <c r="I63" s="20">
        <v>13662</v>
      </c>
      <c r="J63" s="20"/>
      <c r="K63" s="20">
        <v>12698.666666666666</v>
      </c>
      <c r="L63" s="20">
        <v>17424</v>
      </c>
    </row>
    <row r="64" spans="1:12" ht="15.75">
      <c r="A64" s="18" t="s">
        <v>58</v>
      </c>
      <c r="B64" s="20">
        <v>1653.6666666666667</v>
      </c>
      <c r="C64" s="19">
        <v>2095</v>
      </c>
      <c r="D64" s="20"/>
      <c r="E64" s="20">
        <v>13.333333333333334</v>
      </c>
      <c r="F64" s="20">
        <v>15</v>
      </c>
      <c r="G64" s="20"/>
      <c r="H64" s="20">
        <v>699</v>
      </c>
      <c r="I64" s="20">
        <v>674</v>
      </c>
      <c r="J64" s="20"/>
      <c r="K64" s="20">
        <v>941.3333333333334</v>
      </c>
      <c r="L64" s="20">
        <v>1406</v>
      </c>
    </row>
    <row r="65" spans="1:12" ht="15.75">
      <c r="A65" s="18" t="s">
        <v>59</v>
      </c>
      <c r="B65" s="20">
        <v>731</v>
      </c>
      <c r="C65" s="19">
        <v>993</v>
      </c>
      <c r="D65" s="20"/>
      <c r="E65" s="20">
        <v>6.333333333333333</v>
      </c>
      <c r="F65" s="20">
        <v>1</v>
      </c>
      <c r="G65" s="20"/>
      <c r="H65" s="20">
        <v>274.6666666666667</v>
      </c>
      <c r="I65" s="20">
        <v>281</v>
      </c>
      <c r="J65" s="20"/>
      <c r="K65" s="20">
        <v>450</v>
      </c>
      <c r="L65" s="20">
        <v>711</v>
      </c>
    </row>
    <row r="66" spans="1:12" ht="15.75">
      <c r="A66" s="18" t="s">
        <v>60</v>
      </c>
      <c r="B66" s="20">
        <v>1728.3333333333333</v>
      </c>
      <c r="C66" s="19">
        <v>2432</v>
      </c>
      <c r="D66" s="20"/>
      <c r="E66" s="20">
        <v>7.666666666666667</v>
      </c>
      <c r="F66" s="20">
        <v>9</v>
      </c>
      <c r="G66" s="20"/>
      <c r="H66" s="20">
        <v>591.3333333333334</v>
      </c>
      <c r="I66" s="20">
        <v>632</v>
      </c>
      <c r="J66" s="20"/>
      <c r="K66" s="20">
        <v>1129.3333333333333</v>
      </c>
      <c r="L66" s="20">
        <v>1791</v>
      </c>
    </row>
    <row r="67" spans="1:12" ht="15.75">
      <c r="A67" s="18" t="s">
        <v>61</v>
      </c>
      <c r="B67" s="20">
        <v>3585.3333333333335</v>
      </c>
      <c r="C67" s="19">
        <v>4647</v>
      </c>
      <c r="D67" s="20"/>
      <c r="E67" s="20">
        <v>28.666666666666668</v>
      </c>
      <c r="F67" s="20">
        <v>25</v>
      </c>
      <c r="G67" s="20"/>
      <c r="H67" s="20">
        <v>1588</v>
      </c>
      <c r="I67" s="20">
        <v>1556</v>
      </c>
      <c r="J67" s="20"/>
      <c r="K67" s="20">
        <v>1968.6666666666667</v>
      </c>
      <c r="L67" s="20">
        <v>3066</v>
      </c>
    </row>
    <row r="68" spans="1:12" ht="15.75">
      <c r="A68" s="18" t="s">
        <v>62</v>
      </c>
      <c r="B68" s="20">
        <v>1423.3333333333333</v>
      </c>
      <c r="C68" s="19">
        <v>1762</v>
      </c>
      <c r="D68" s="20"/>
      <c r="E68" s="20">
        <v>10</v>
      </c>
      <c r="F68" s="20">
        <v>8</v>
      </c>
      <c r="G68" s="20"/>
      <c r="H68" s="20">
        <v>574.3333333333334</v>
      </c>
      <c r="I68" s="20">
        <v>506</v>
      </c>
      <c r="J68" s="20"/>
      <c r="K68" s="20">
        <v>839</v>
      </c>
      <c r="L68" s="20">
        <v>1248</v>
      </c>
    </row>
    <row r="69" spans="1:12" ht="15.75">
      <c r="A69" s="18" t="s">
        <v>63</v>
      </c>
      <c r="B69" s="20">
        <v>895.6666666666666</v>
      </c>
      <c r="C69" s="19">
        <v>1114</v>
      </c>
      <c r="D69" s="20"/>
      <c r="E69" s="20">
        <v>6.666666666666667</v>
      </c>
      <c r="F69" s="20">
        <v>9</v>
      </c>
      <c r="G69" s="20"/>
      <c r="H69" s="20">
        <v>378.3333333333333</v>
      </c>
      <c r="I69" s="20">
        <v>376</v>
      </c>
      <c r="J69" s="20"/>
      <c r="K69" s="20">
        <v>510.6666666666667</v>
      </c>
      <c r="L69" s="20">
        <v>729</v>
      </c>
    </row>
    <row r="70" spans="1:12" ht="15.75">
      <c r="A70" s="18" t="s">
        <v>64</v>
      </c>
      <c r="B70" s="20">
        <v>1406</v>
      </c>
      <c r="C70" s="19">
        <v>1765</v>
      </c>
      <c r="D70" s="20"/>
      <c r="E70" s="20">
        <v>11</v>
      </c>
      <c r="F70" s="20">
        <v>11</v>
      </c>
      <c r="G70" s="20"/>
      <c r="H70" s="20">
        <v>468.3333333333333</v>
      </c>
      <c r="I70" s="18">
        <v>458</v>
      </c>
      <c r="J70" s="20"/>
      <c r="K70" s="20">
        <v>926.6666666666666</v>
      </c>
      <c r="L70" s="20">
        <v>1296</v>
      </c>
    </row>
    <row r="71" spans="1:12" ht="15.75">
      <c r="A71" s="1" t="s">
        <v>65</v>
      </c>
      <c r="B71" s="8">
        <v>14483.333333333334</v>
      </c>
      <c r="C71" s="7">
        <v>15419</v>
      </c>
      <c r="D71" s="8"/>
      <c r="E71" s="8">
        <v>44</v>
      </c>
      <c r="F71" s="8">
        <v>48</v>
      </c>
      <c r="G71" s="8"/>
      <c r="H71" s="8">
        <v>6748.666666666667</v>
      </c>
      <c r="I71" s="8">
        <v>5933</v>
      </c>
      <c r="J71" s="8"/>
      <c r="K71" s="8">
        <v>7690.666666666667</v>
      </c>
      <c r="L71" s="8">
        <v>9438</v>
      </c>
    </row>
    <row r="72" spans="1:12" ht="15.75">
      <c r="A72" s="1" t="s">
        <v>66</v>
      </c>
      <c r="B72" s="8">
        <v>817.3333333333334</v>
      </c>
      <c r="C72" s="7">
        <v>1138</v>
      </c>
      <c r="D72" s="8"/>
      <c r="E72" s="8">
        <v>7</v>
      </c>
      <c r="F72" s="8">
        <v>6</v>
      </c>
      <c r="G72" s="8"/>
      <c r="H72" s="8">
        <v>253.33333333333334</v>
      </c>
      <c r="I72" s="8">
        <v>241</v>
      </c>
      <c r="J72" s="8"/>
      <c r="K72" s="8">
        <v>557</v>
      </c>
      <c r="L72" s="8">
        <v>891</v>
      </c>
    </row>
    <row r="73" spans="1:12" ht="15.75">
      <c r="A73" s="1" t="s">
        <v>67</v>
      </c>
      <c r="B73" s="8">
        <v>331</v>
      </c>
      <c r="C73" s="7">
        <v>493</v>
      </c>
      <c r="D73" s="8"/>
      <c r="E73" s="8">
        <v>2.6666666666666665</v>
      </c>
      <c r="F73" s="7">
        <v>3</v>
      </c>
      <c r="G73" s="8"/>
      <c r="H73" s="8">
        <v>117.33333333333333</v>
      </c>
      <c r="I73" s="8">
        <v>126</v>
      </c>
      <c r="J73" s="8"/>
      <c r="K73" s="8">
        <v>211</v>
      </c>
      <c r="L73" s="8">
        <v>364</v>
      </c>
    </row>
    <row r="74" spans="1:12" ht="15.75">
      <c r="A74" s="1"/>
      <c r="B74" s="8"/>
      <c r="C74" s="7"/>
      <c r="D74" s="8"/>
      <c r="E74" s="8"/>
      <c r="F74" s="7"/>
      <c r="G74" s="8"/>
      <c r="H74" s="8"/>
      <c r="I74" s="8"/>
      <c r="J74" s="8"/>
      <c r="K74" s="8"/>
      <c r="L74" s="8"/>
    </row>
    <row r="75" spans="1:12" ht="15.75">
      <c r="A75" s="1" t="s">
        <v>71</v>
      </c>
      <c r="B75" s="8">
        <v>393.3333333333333</v>
      </c>
      <c r="C75" s="7">
        <v>1242</v>
      </c>
      <c r="D75" s="8"/>
      <c r="E75" s="7">
        <v>0</v>
      </c>
      <c r="F75" s="7">
        <v>0</v>
      </c>
      <c r="G75" s="8"/>
      <c r="H75" s="8">
        <v>76.66666666666667</v>
      </c>
      <c r="I75" s="8">
        <v>234</v>
      </c>
      <c r="J75" s="8"/>
      <c r="K75" s="8">
        <v>316.6666666666667</v>
      </c>
      <c r="L75" s="8">
        <v>1008</v>
      </c>
    </row>
    <row r="76" spans="1:12" ht="15.75">
      <c r="A76" s="3"/>
      <c r="B76" s="14"/>
      <c r="C76" s="15" t="s">
        <v>72</v>
      </c>
      <c r="D76" s="14"/>
      <c r="E76" s="14"/>
      <c r="F76" s="14"/>
      <c r="G76" s="14"/>
      <c r="H76" s="14"/>
      <c r="I76" s="14"/>
      <c r="J76" s="14"/>
      <c r="K76" s="14"/>
      <c r="L76" s="14"/>
    </row>
    <row r="77" spans="1:12" ht="46.5" customHeight="1">
      <c r="A77" s="28" t="s">
        <v>76</v>
      </c>
      <c r="B77" s="28"/>
      <c r="C77" s="28"/>
      <c r="D77" s="28"/>
      <c r="E77" s="28"/>
      <c r="F77" s="28"/>
      <c r="G77" s="28"/>
      <c r="H77" s="28"/>
      <c r="I77" s="28"/>
      <c r="J77" s="28"/>
      <c r="K77" s="28"/>
      <c r="L77" s="28"/>
    </row>
    <row r="78" spans="1:12" ht="15.75">
      <c r="A78" s="1"/>
      <c r="B78" s="8"/>
      <c r="C78" s="7"/>
      <c r="D78" s="8"/>
      <c r="E78" s="8"/>
      <c r="F78" s="8"/>
      <c r="G78" s="8"/>
      <c r="H78" s="8"/>
      <c r="I78" s="8"/>
      <c r="J78" s="8"/>
      <c r="K78" s="8"/>
      <c r="L78" s="8"/>
    </row>
    <row r="79" spans="1:12" ht="30" customHeight="1">
      <c r="A79" s="28" t="s">
        <v>77</v>
      </c>
      <c r="B79" s="28"/>
      <c r="C79" s="28"/>
      <c r="D79" s="28"/>
      <c r="E79" s="28"/>
      <c r="F79" s="28"/>
      <c r="G79" s="28"/>
      <c r="H79" s="28"/>
      <c r="I79" s="28"/>
      <c r="J79" s="28"/>
      <c r="K79" s="28"/>
      <c r="L79" s="28"/>
    </row>
    <row r="80" spans="1:12" ht="45.75" customHeight="1">
      <c r="A80" s="29" t="s">
        <v>78</v>
      </c>
      <c r="B80" s="29"/>
      <c r="C80" s="29"/>
      <c r="D80" s="29"/>
      <c r="E80" s="29"/>
      <c r="F80" s="29"/>
      <c r="G80" s="29"/>
      <c r="H80" s="29"/>
      <c r="I80" s="29"/>
      <c r="J80" s="29"/>
      <c r="K80" s="29"/>
      <c r="L80" s="29"/>
    </row>
    <row r="81" spans="1:12" ht="46.5" customHeight="1">
      <c r="A81" s="28" t="s">
        <v>79</v>
      </c>
      <c r="B81" s="28"/>
      <c r="C81" s="28"/>
      <c r="D81" s="28"/>
      <c r="E81" s="28"/>
      <c r="F81" s="28"/>
      <c r="G81" s="28"/>
      <c r="H81" s="28"/>
      <c r="I81" s="28"/>
      <c r="J81" s="28"/>
      <c r="K81" s="28"/>
      <c r="L81" s="28"/>
    </row>
    <row r="82" spans="1:12" ht="15.75">
      <c r="A82" s="1"/>
      <c r="B82" s="16"/>
      <c r="C82" s="1"/>
      <c r="D82" s="1"/>
      <c r="E82" s="1"/>
      <c r="F82" s="1"/>
      <c r="G82" s="1"/>
      <c r="H82" s="1"/>
      <c r="I82" s="1"/>
      <c r="J82" s="1"/>
      <c r="K82" s="1"/>
      <c r="L82" s="1"/>
    </row>
    <row r="83" spans="1:12" ht="15.75">
      <c r="A83" s="1" t="s">
        <v>68</v>
      </c>
      <c r="B83" s="1"/>
      <c r="C83" s="2"/>
      <c r="D83" s="1"/>
      <c r="E83" s="1"/>
      <c r="F83" s="1"/>
      <c r="G83" s="1"/>
      <c r="H83" s="1"/>
      <c r="I83" s="1"/>
      <c r="J83" s="1"/>
      <c r="K83" s="1"/>
      <c r="L83" s="1"/>
    </row>
  </sheetData>
  <sheetProtection/>
  <mergeCells count="8">
    <mergeCell ref="A80:L80"/>
    <mergeCell ref="A81:L81"/>
    <mergeCell ref="B4:C4"/>
    <mergeCell ref="E4:F4"/>
    <mergeCell ref="H4:I4"/>
    <mergeCell ref="K4:L4"/>
    <mergeCell ref="A77:L77"/>
    <mergeCell ref="A79:L79"/>
  </mergeCells>
  <printOptions/>
  <pageMargins left="0.7" right="0.7" top="0.75" bottom="0.75" header="0.3" footer="0.3"/>
  <pageSetup fitToHeight="2" fitToWidth="1" horizontalDpi="1200" verticalDpi="1200" orientation="landscape" scale="76" r:id="rId1"/>
</worksheet>
</file>

<file path=xl/worksheets/sheet6.xml><?xml version="1.0" encoding="utf-8"?>
<worksheet xmlns="http://schemas.openxmlformats.org/spreadsheetml/2006/main" xmlns:r="http://schemas.openxmlformats.org/officeDocument/2006/relationships">
  <sheetPr>
    <pageSetUpPr fitToPage="1"/>
  </sheetPr>
  <dimension ref="A1:L83"/>
  <sheetViews>
    <sheetView zoomScalePageLayoutView="0" workbookViewId="0" topLeftCell="A1">
      <selection activeCell="B5" sqref="B5"/>
    </sheetView>
  </sheetViews>
  <sheetFormatPr defaultColWidth="10.77734375" defaultRowHeight="15.75"/>
  <cols>
    <col min="1" max="1" width="25.77734375" style="0" customWidth="1"/>
    <col min="2" max="3" width="10.77734375" style="0" customWidth="1"/>
    <col min="4" max="4" width="3.77734375" style="0" customWidth="1"/>
    <col min="5" max="6" width="10.77734375" style="0" customWidth="1"/>
    <col min="7" max="7" width="3.77734375" style="0" customWidth="1"/>
    <col min="8" max="9" width="10.77734375" style="0" customWidth="1"/>
    <col min="10" max="10" width="3.77734375" style="0" customWidth="1"/>
  </cols>
  <sheetData>
    <row r="1" spans="1:12" ht="20.25">
      <c r="A1" s="12" t="s">
        <v>0</v>
      </c>
      <c r="B1" s="1"/>
      <c r="C1" s="2"/>
      <c r="D1" s="1"/>
      <c r="E1" s="1"/>
      <c r="F1" s="1"/>
      <c r="G1" s="1"/>
      <c r="H1" s="1"/>
      <c r="I1" s="1"/>
      <c r="J1" s="1"/>
      <c r="K1" s="1"/>
      <c r="L1" s="1"/>
    </row>
    <row r="2" spans="1:12" ht="20.25">
      <c r="A2" s="12" t="s">
        <v>89</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74</v>
      </c>
      <c r="C4" s="30"/>
      <c r="D4" s="3"/>
      <c r="E4" s="30" t="s">
        <v>69</v>
      </c>
      <c r="F4" s="30"/>
      <c r="G4" s="3"/>
      <c r="H4" s="30" t="s">
        <v>70</v>
      </c>
      <c r="I4" s="30"/>
      <c r="J4" s="3"/>
      <c r="K4" s="30" t="s">
        <v>75</v>
      </c>
      <c r="L4" s="30"/>
    </row>
    <row r="5" spans="1:12" ht="29.25">
      <c r="A5" s="4" t="s">
        <v>1</v>
      </c>
      <c r="B5" s="17" t="s">
        <v>90</v>
      </c>
      <c r="C5" s="5">
        <v>2007</v>
      </c>
      <c r="D5" s="4"/>
      <c r="E5" s="17" t="s">
        <v>90</v>
      </c>
      <c r="F5" s="5">
        <v>2007</v>
      </c>
      <c r="G5" s="4"/>
      <c r="H5" s="17" t="s">
        <v>90</v>
      </c>
      <c r="I5" s="5">
        <v>2007</v>
      </c>
      <c r="J5" s="4"/>
      <c r="K5" s="17" t="s">
        <v>90</v>
      </c>
      <c r="L5" s="5">
        <v>2007</v>
      </c>
    </row>
    <row r="6" spans="1:12" ht="15.75">
      <c r="A6" s="1"/>
      <c r="B6" s="1"/>
      <c r="C6" s="2"/>
      <c r="D6" s="1"/>
      <c r="E6" s="1"/>
      <c r="F6" s="1"/>
      <c r="G6" s="1"/>
      <c r="H6" s="6"/>
      <c r="I6" s="1"/>
      <c r="J6" s="1"/>
      <c r="K6" s="1"/>
      <c r="L6" s="1"/>
    </row>
    <row r="7" spans="1:12" ht="15.75">
      <c r="A7" s="1" t="s">
        <v>2</v>
      </c>
      <c r="B7" s="8">
        <v>243101.99999999997</v>
      </c>
      <c r="C7" s="7">
        <f>+C9+C16</f>
        <v>323106</v>
      </c>
      <c r="D7" s="8" t="s">
        <v>3</v>
      </c>
      <c r="E7" s="8">
        <v>1335.6666666666667</v>
      </c>
      <c r="F7" s="8">
        <f>+F9+F16</f>
        <v>1220</v>
      </c>
      <c r="G7" s="8"/>
      <c r="H7" s="8">
        <v>146644.6666666667</v>
      </c>
      <c r="I7" s="8">
        <f>+I9+I16</f>
        <v>139117</v>
      </c>
      <c r="J7" s="8"/>
      <c r="K7" s="8">
        <v>95121.66666666667</v>
      </c>
      <c r="L7" s="8">
        <f>+L9+L16</f>
        <v>182769</v>
      </c>
    </row>
    <row r="8" spans="1:12" ht="15.75">
      <c r="A8" s="1"/>
      <c r="B8" s="8"/>
      <c r="C8" s="7"/>
      <c r="D8" s="8"/>
      <c r="E8" s="8"/>
      <c r="F8" s="8"/>
      <c r="G8" s="8" t="s">
        <v>3</v>
      </c>
      <c r="H8" s="8"/>
      <c r="I8" s="8"/>
      <c r="J8" s="8" t="s">
        <v>3</v>
      </c>
      <c r="K8" s="8"/>
      <c r="L8" s="8"/>
    </row>
    <row r="9" spans="1:12" ht="15.75">
      <c r="A9" s="1" t="s">
        <v>4</v>
      </c>
      <c r="B9" s="8">
        <v>73876.66666666666</v>
      </c>
      <c r="C9" s="7">
        <f>SUM(C10:C14)</f>
        <v>79510</v>
      </c>
      <c r="D9" s="8" t="s">
        <v>3</v>
      </c>
      <c r="E9" s="8">
        <v>300.6666666666667</v>
      </c>
      <c r="F9" s="8">
        <f>SUM(F10:F14)</f>
        <v>264</v>
      </c>
      <c r="G9" s="8"/>
      <c r="H9" s="8">
        <v>55379.333333333336</v>
      </c>
      <c r="I9" s="8">
        <f>SUM(I10:I14)</f>
        <v>52711</v>
      </c>
      <c r="J9" s="8"/>
      <c r="K9" s="8">
        <v>18196.666666666668</v>
      </c>
      <c r="L9" s="8">
        <f>SUM(L10:L14)</f>
        <v>26535</v>
      </c>
    </row>
    <row r="10" spans="1:12" ht="15.75">
      <c r="A10" s="1" t="s">
        <v>5</v>
      </c>
      <c r="B10" s="8">
        <v>11256</v>
      </c>
      <c r="C10" s="7">
        <v>12681</v>
      </c>
      <c r="D10" s="8"/>
      <c r="E10" s="8">
        <v>46</v>
      </c>
      <c r="F10" s="8">
        <v>28</v>
      </c>
      <c r="G10" s="8"/>
      <c r="H10" s="8">
        <v>8553</v>
      </c>
      <c r="I10" s="8">
        <v>8760</v>
      </c>
      <c r="J10" s="8"/>
      <c r="K10" s="8">
        <v>2657</v>
      </c>
      <c r="L10" s="8">
        <v>3893</v>
      </c>
    </row>
    <row r="11" spans="1:12" ht="15.75">
      <c r="A11" s="1" t="s">
        <v>6</v>
      </c>
      <c r="B11" s="8">
        <v>21409</v>
      </c>
      <c r="C11" s="7">
        <v>22682</v>
      </c>
      <c r="D11" s="8"/>
      <c r="E11" s="8">
        <v>89.66666666666667</v>
      </c>
      <c r="F11" s="8">
        <v>94</v>
      </c>
      <c r="G11" s="8"/>
      <c r="H11" s="8">
        <v>17157</v>
      </c>
      <c r="I11" s="8">
        <v>16047</v>
      </c>
      <c r="J11" s="8"/>
      <c r="K11" s="8">
        <v>4162.333333333333</v>
      </c>
      <c r="L11" s="8">
        <v>6541</v>
      </c>
    </row>
    <row r="12" spans="1:12" ht="15.75">
      <c r="A12" s="1" t="s">
        <v>7</v>
      </c>
      <c r="B12" s="8">
        <v>14568</v>
      </c>
      <c r="C12" s="7">
        <v>15780</v>
      </c>
      <c r="D12" s="8"/>
      <c r="E12" s="8">
        <v>59.666666666666664</v>
      </c>
      <c r="F12" s="8">
        <v>57</v>
      </c>
      <c r="G12" s="8"/>
      <c r="H12" s="8">
        <v>10605.333333333334</v>
      </c>
      <c r="I12" s="8">
        <v>10051</v>
      </c>
      <c r="J12" s="8"/>
      <c r="K12" s="8">
        <v>3903</v>
      </c>
      <c r="L12" s="8">
        <v>5672</v>
      </c>
    </row>
    <row r="13" spans="1:12" ht="15.75">
      <c r="A13" s="1" t="s">
        <v>8</v>
      </c>
      <c r="B13" s="8">
        <v>21918.333333333332</v>
      </c>
      <c r="C13" s="7">
        <v>23291</v>
      </c>
      <c r="D13" s="8"/>
      <c r="E13" s="8">
        <v>83.33333333333333</v>
      </c>
      <c r="F13" s="8">
        <v>68</v>
      </c>
      <c r="G13" s="8"/>
      <c r="H13" s="8">
        <v>15909.333333333334</v>
      </c>
      <c r="I13" s="8">
        <v>14978</v>
      </c>
      <c r="J13" s="8"/>
      <c r="K13" s="8">
        <v>5925.666666666667</v>
      </c>
      <c r="L13" s="8">
        <v>8245</v>
      </c>
    </row>
    <row r="14" spans="1:12" ht="15.75">
      <c r="A14" s="1" t="s">
        <v>9</v>
      </c>
      <c r="B14" s="8">
        <v>4725.333333333333</v>
      </c>
      <c r="C14" s="7">
        <v>5076</v>
      </c>
      <c r="D14" s="8"/>
      <c r="E14" s="8">
        <v>22</v>
      </c>
      <c r="F14" s="8">
        <v>17</v>
      </c>
      <c r="G14" s="8"/>
      <c r="H14" s="8">
        <v>3154.6666666666665</v>
      </c>
      <c r="I14" s="8">
        <v>2875</v>
      </c>
      <c r="J14" s="8"/>
      <c r="K14" s="8">
        <v>1548.6666666666667</v>
      </c>
      <c r="L14" s="8">
        <v>2184</v>
      </c>
    </row>
    <row r="15" spans="1:12" ht="15.75">
      <c r="A15" s="1"/>
      <c r="B15" s="8"/>
      <c r="C15" s="7"/>
      <c r="D15" s="8"/>
      <c r="E15" s="8"/>
      <c r="F15" s="8"/>
      <c r="G15" s="8"/>
      <c r="H15" s="8"/>
      <c r="I15" s="8"/>
      <c r="J15" s="8"/>
      <c r="K15" s="8"/>
      <c r="L15" s="8"/>
    </row>
    <row r="16" spans="1:12" ht="15.75">
      <c r="A16" s="1" t="s">
        <v>10</v>
      </c>
      <c r="B16" s="8">
        <v>169225.3333333333</v>
      </c>
      <c r="C16" s="7">
        <f>SUM(C17:C75)</f>
        <v>243596</v>
      </c>
      <c r="D16" s="8"/>
      <c r="E16" s="8">
        <v>1035</v>
      </c>
      <c r="F16" s="8">
        <f>SUM(F17:F75)</f>
        <v>956</v>
      </c>
      <c r="G16" s="8"/>
      <c r="H16" s="8">
        <v>91265.33333333334</v>
      </c>
      <c r="I16" s="8">
        <f>SUM(I17:I75)</f>
        <v>86406</v>
      </c>
      <c r="J16" s="8"/>
      <c r="K16" s="8">
        <v>76925</v>
      </c>
      <c r="L16" s="8">
        <f>SUM(L17:L75)</f>
        <v>156234</v>
      </c>
    </row>
    <row r="17" spans="1:12" ht="15.75">
      <c r="A17" s="1" t="s">
        <v>11</v>
      </c>
      <c r="B17" s="8">
        <v>5368.333333333333</v>
      </c>
      <c r="C17" s="7">
        <v>7898</v>
      </c>
      <c r="D17" s="8"/>
      <c r="E17" s="8">
        <v>18</v>
      </c>
      <c r="F17" s="8">
        <v>21</v>
      </c>
      <c r="G17" s="8"/>
      <c r="H17" s="8">
        <v>2726.3333333333335</v>
      </c>
      <c r="I17" s="8">
        <v>2522</v>
      </c>
      <c r="J17" s="8"/>
      <c r="K17" s="8">
        <v>2624</v>
      </c>
      <c r="L17" s="8">
        <v>5355</v>
      </c>
    </row>
    <row r="18" spans="1:12" ht="15.75">
      <c r="A18" s="1" t="s">
        <v>12</v>
      </c>
      <c r="B18" s="8">
        <v>637.3333333333334</v>
      </c>
      <c r="C18" s="7">
        <v>1013</v>
      </c>
      <c r="D18" s="8"/>
      <c r="E18" s="8">
        <v>9.666666666666666</v>
      </c>
      <c r="F18" s="8">
        <v>6</v>
      </c>
      <c r="G18" s="8"/>
      <c r="H18" s="8">
        <v>281.6666666666667</v>
      </c>
      <c r="I18" s="8">
        <v>307</v>
      </c>
      <c r="J18" s="8"/>
      <c r="K18" s="8">
        <v>346</v>
      </c>
      <c r="L18" s="8">
        <v>700</v>
      </c>
    </row>
    <row r="19" spans="1:12" ht="15.75">
      <c r="A19" s="1" t="s">
        <v>13</v>
      </c>
      <c r="B19" s="8">
        <v>2584</v>
      </c>
      <c r="C19" s="7">
        <v>4122</v>
      </c>
      <c r="D19" s="8"/>
      <c r="E19" s="8">
        <v>16.333333333333332</v>
      </c>
      <c r="F19" s="8">
        <v>14</v>
      </c>
      <c r="G19" s="8"/>
      <c r="H19" s="8">
        <v>1358.6666666666667</v>
      </c>
      <c r="I19" s="8">
        <v>1307</v>
      </c>
      <c r="J19" s="8"/>
      <c r="K19" s="8">
        <v>1209</v>
      </c>
      <c r="L19" s="8">
        <v>2801</v>
      </c>
    </row>
    <row r="20" spans="1:12" ht="15.75">
      <c r="A20" s="1" t="s">
        <v>14</v>
      </c>
      <c r="B20" s="8">
        <v>1103.3333333333333</v>
      </c>
      <c r="C20" s="7">
        <v>1829</v>
      </c>
      <c r="D20" s="8"/>
      <c r="E20" s="8">
        <v>11.666666666666666</v>
      </c>
      <c r="F20" s="8">
        <v>12</v>
      </c>
      <c r="G20" s="8"/>
      <c r="H20" s="8">
        <v>554.3333333333334</v>
      </c>
      <c r="I20" s="8">
        <v>547</v>
      </c>
      <c r="J20" s="8"/>
      <c r="K20" s="8">
        <v>537.3333333333334</v>
      </c>
      <c r="L20" s="8">
        <v>1270</v>
      </c>
    </row>
    <row r="21" spans="1:12" ht="15.75">
      <c r="A21" s="1" t="s">
        <v>15</v>
      </c>
      <c r="B21" s="8">
        <v>1119</v>
      </c>
      <c r="C21" s="7">
        <v>1774</v>
      </c>
      <c r="D21" s="8"/>
      <c r="E21" s="8">
        <v>9.666666666666666</v>
      </c>
      <c r="F21" s="8">
        <v>7</v>
      </c>
      <c r="G21" s="8"/>
      <c r="H21" s="8">
        <v>567.3333333333334</v>
      </c>
      <c r="I21" s="8">
        <v>507</v>
      </c>
      <c r="J21" s="8"/>
      <c r="K21" s="8">
        <v>542</v>
      </c>
      <c r="L21" s="8">
        <v>1260</v>
      </c>
    </row>
    <row r="22" spans="1:12" ht="15.75">
      <c r="A22" s="1" t="s">
        <v>16</v>
      </c>
      <c r="B22" s="8">
        <v>1863</v>
      </c>
      <c r="C22" s="7">
        <v>2979</v>
      </c>
      <c r="D22" s="8"/>
      <c r="E22" s="8">
        <v>17</v>
      </c>
      <c r="F22" s="8">
        <v>14</v>
      </c>
      <c r="G22" s="8"/>
      <c r="H22" s="8">
        <v>969.3333333333334</v>
      </c>
      <c r="I22" s="8">
        <v>902</v>
      </c>
      <c r="J22" s="8"/>
      <c r="K22" s="8">
        <v>876.6666666666666</v>
      </c>
      <c r="L22" s="8">
        <v>2063</v>
      </c>
    </row>
    <row r="23" spans="1:12" ht="15.75">
      <c r="A23" s="1" t="s">
        <v>17</v>
      </c>
      <c r="B23" s="8">
        <v>1062</v>
      </c>
      <c r="C23" s="7">
        <v>1589</v>
      </c>
      <c r="D23" s="8"/>
      <c r="E23" s="8">
        <v>8.333333333333334</v>
      </c>
      <c r="F23" s="8">
        <v>5</v>
      </c>
      <c r="G23" s="8"/>
      <c r="H23" s="8">
        <v>574.3333333333334</v>
      </c>
      <c r="I23" s="8">
        <v>538</v>
      </c>
      <c r="J23" s="8"/>
      <c r="K23" s="8">
        <v>479.3333333333333</v>
      </c>
      <c r="L23" s="8">
        <v>1046</v>
      </c>
    </row>
    <row r="24" spans="1:12" ht="15.75">
      <c r="A24" s="1" t="s">
        <v>18</v>
      </c>
      <c r="B24" s="8">
        <v>720</v>
      </c>
      <c r="C24" s="7">
        <v>1097</v>
      </c>
      <c r="D24" s="8"/>
      <c r="E24" s="8">
        <v>5.666666666666667</v>
      </c>
      <c r="F24" s="8">
        <v>9</v>
      </c>
      <c r="G24" s="8"/>
      <c r="H24" s="8">
        <v>331.3333333333333</v>
      </c>
      <c r="I24" s="8">
        <v>321</v>
      </c>
      <c r="J24" s="8"/>
      <c r="K24" s="8">
        <v>383</v>
      </c>
      <c r="L24" s="8">
        <v>767</v>
      </c>
    </row>
    <row r="25" spans="1:12" ht="15.75">
      <c r="A25" s="1" t="s">
        <v>19</v>
      </c>
      <c r="B25" s="8">
        <v>1109.6666666666667</v>
      </c>
      <c r="C25" s="7">
        <v>1770</v>
      </c>
      <c r="D25" s="8"/>
      <c r="E25" s="8">
        <v>8.666666666666666</v>
      </c>
      <c r="F25" s="8">
        <v>12</v>
      </c>
      <c r="G25" s="8"/>
      <c r="H25" s="8">
        <v>517.3333333333334</v>
      </c>
      <c r="I25" s="8">
        <v>505</v>
      </c>
      <c r="J25" s="8"/>
      <c r="K25" s="8">
        <v>583.6666666666666</v>
      </c>
      <c r="L25" s="8">
        <v>1253</v>
      </c>
    </row>
    <row r="26" spans="1:12" ht="15.75">
      <c r="A26" s="1" t="s">
        <v>20</v>
      </c>
      <c r="B26" s="8">
        <v>963.3333333333334</v>
      </c>
      <c r="C26" s="7">
        <v>1355</v>
      </c>
      <c r="D26" s="8"/>
      <c r="E26" s="8">
        <v>12.333333333333334</v>
      </c>
      <c r="F26" s="8">
        <v>4</v>
      </c>
      <c r="G26" s="8"/>
      <c r="H26" s="8">
        <v>445.3333333333333</v>
      </c>
      <c r="I26" s="8">
        <v>427</v>
      </c>
      <c r="J26" s="8"/>
      <c r="K26" s="8">
        <v>505.6666666666667</v>
      </c>
      <c r="L26" s="8">
        <v>924</v>
      </c>
    </row>
    <row r="27" spans="1:12" ht="15.75">
      <c r="A27" s="1" t="s">
        <v>21</v>
      </c>
      <c r="B27" s="8">
        <v>742</v>
      </c>
      <c r="C27" s="7">
        <v>1239</v>
      </c>
      <c r="D27" s="8"/>
      <c r="E27" s="8">
        <v>6.333333333333333</v>
      </c>
      <c r="F27" s="8">
        <v>6</v>
      </c>
      <c r="G27" s="8"/>
      <c r="H27" s="8">
        <v>365</v>
      </c>
      <c r="I27" s="8">
        <v>340</v>
      </c>
      <c r="J27" s="8"/>
      <c r="K27" s="8">
        <v>370.6666666666667</v>
      </c>
      <c r="L27" s="8">
        <v>893</v>
      </c>
    </row>
    <row r="28" spans="1:12" ht="15.75">
      <c r="A28" s="1" t="s">
        <v>22</v>
      </c>
      <c r="B28" s="8">
        <v>758</v>
      </c>
      <c r="C28" s="7">
        <v>1074</v>
      </c>
      <c r="D28" s="8"/>
      <c r="E28" s="8">
        <v>11.666666666666666</v>
      </c>
      <c r="F28" s="8">
        <v>12</v>
      </c>
      <c r="G28" s="8"/>
      <c r="H28" s="8">
        <v>357.3333333333333</v>
      </c>
      <c r="I28" s="8">
        <v>327</v>
      </c>
      <c r="J28" s="8"/>
      <c r="K28" s="8">
        <v>389</v>
      </c>
      <c r="L28" s="8">
        <v>735</v>
      </c>
    </row>
    <row r="29" spans="1:12" ht="15.75">
      <c r="A29" s="1" t="s">
        <v>23</v>
      </c>
      <c r="B29" s="8">
        <v>4865</v>
      </c>
      <c r="C29" s="7">
        <v>6755</v>
      </c>
      <c r="D29" s="8"/>
      <c r="E29" s="8">
        <v>29.333333333333332</v>
      </c>
      <c r="F29" s="8">
        <v>22</v>
      </c>
      <c r="G29" s="8"/>
      <c r="H29" s="8">
        <v>2493.6666666666665</v>
      </c>
      <c r="I29" s="8">
        <v>2236</v>
      </c>
      <c r="J29" s="8"/>
      <c r="K29" s="8">
        <v>2342</v>
      </c>
      <c r="L29" s="8">
        <v>4497</v>
      </c>
    </row>
    <row r="30" spans="1:12" ht="15.75">
      <c r="A30" s="1" t="s">
        <v>24</v>
      </c>
      <c r="B30" s="8">
        <v>12930</v>
      </c>
      <c r="C30" s="7">
        <v>16740</v>
      </c>
      <c r="D30" s="8"/>
      <c r="E30" s="8">
        <v>57.333333333333336</v>
      </c>
      <c r="F30" s="8">
        <v>53</v>
      </c>
      <c r="G30" s="8"/>
      <c r="H30" s="8">
        <v>7547.666666666667</v>
      </c>
      <c r="I30" s="8">
        <v>7375</v>
      </c>
      <c r="J30" s="8"/>
      <c r="K30" s="8">
        <v>5325</v>
      </c>
      <c r="L30" s="8">
        <v>9312</v>
      </c>
    </row>
    <row r="31" spans="1:12" ht="15.75">
      <c r="A31" s="1" t="s">
        <v>25</v>
      </c>
      <c r="B31" s="8">
        <v>675.3333333333334</v>
      </c>
      <c r="C31" s="7">
        <v>1002</v>
      </c>
      <c r="D31" s="8"/>
      <c r="E31" s="8">
        <v>10</v>
      </c>
      <c r="F31" s="8">
        <v>7</v>
      </c>
      <c r="G31" s="8"/>
      <c r="H31" s="8">
        <v>292</v>
      </c>
      <c r="I31" s="8">
        <v>265</v>
      </c>
      <c r="J31" s="8"/>
      <c r="K31" s="8">
        <v>373.3333333333333</v>
      </c>
      <c r="L31" s="8">
        <v>730</v>
      </c>
    </row>
    <row r="32" spans="1:12" ht="15.75">
      <c r="A32" s="1" t="s">
        <v>26</v>
      </c>
      <c r="B32" s="8">
        <v>743.3333333333334</v>
      </c>
      <c r="C32" s="7">
        <v>1160</v>
      </c>
      <c r="D32" s="8"/>
      <c r="E32" s="8">
        <v>6.333333333333333</v>
      </c>
      <c r="F32" s="8">
        <v>2</v>
      </c>
      <c r="G32" s="8"/>
      <c r="H32" s="8">
        <v>316</v>
      </c>
      <c r="I32" s="8">
        <v>341</v>
      </c>
      <c r="J32" s="8"/>
      <c r="K32" s="8">
        <v>421</v>
      </c>
      <c r="L32" s="8">
        <v>817</v>
      </c>
    </row>
    <row r="33" spans="1:12" ht="15.75">
      <c r="A33" s="1" t="s">
        <v>27</v>
      </c>
      <c r="B33" s="8">
        <v>692.6666666666666</v>
      </c>
      <c r="C33" s="7">
        <v>1056</v>
      </c>
      <c r="D33" s="8"/>
      <c r="E33" s="8">
        <v>8.333333333333334</v>
      </c>
      <c r="F33" s="8">
        <v>8</v>
      </c>
      <c r="G33" s="8"/>
      <c r="H33" s="8">
        <v>396.3333333333333</v>
      </c>
      <c r="I33" s="8">
        <v>356</v>
      </c>
      <c r="J33" s="8"/>
      <c r="K33" s="8">
        <v>288</v>
      </c>
      <c r="L33" s="8">
        <v>692</v>
      </c>
    </row>
    <row r="34" spans="1:12" ht="15.75">
      <c r="A34" s="1" t="s">
        <v>28</v>
      </c>
      <c r="B34" s="8">
        <v>1077.3333333333333</v>
      </c>
      <c r="C34" s="7">
        <v>1957</v>
      </c>
      <c r="D34" s="8"/>
      <c r="E34" s="8">
        <v>7.666666666666667</v>
      </c>
      <c r="F34" s="8">
        <v>14</v>
      </c>
      <c r="G34" s="8"/>
      <c r="H34" s="8">
        <v>531</v>
      </c>
      <c r="I34" s="8">
        <v>545</v>
      </c>
      <c r="J34" s="8"/>
      <c r="K34" s="8">
        <v>538.6666666666666</v>
      </c>
      <c r="L34" s="8">
        <v>1398</v>
      </c>
    </row>
    <row r="35" spans="1:12" ht="15.75">
      <c r="A35" s="1" t="s">
        <v>29</v>
      </c>
      <c r="B35" s="8">
        <v>765.3333333333334</v>
      </c>
      <c r="C35" s="7">
        <v>1247</v>
      </c>
      <c r="D35" s="8"/>
      <c r="E35" s="8">
        <v>7.333333333333333</v>
      </c>
      <c r="F35" s="8">
        <v>7</v>
      </c>
      <c r="G35" s="8"/>
      <c r="H35" s="8">
        <v>394.3333333333333</v>
      </c>
      <c r="I35" s="8">
        <v>342</v>
      </c>
      <c r="J35" s="8"/>
      <c r="K35" s="8">
        <v>363.6666666666667</v>
      </c>
      <c r="L35" s="8">
        <v>898</v>
      </c>
    </row>
    <row r="36" spans="1:12" ht="15.75">
      <c r="A36" s="1" t="s">
        <v>30</v>
      </c>
      <c r="B36" s="8">
        <v>151.33333333333334</v>
      </c>
      <c r="C36" s="7">
        <v>189</v>
      </c>
      <c r="D36" s="8"/>
      <c r="E36" s="8">
        <v>0.6666666666666666</v>
      </c>
      <c r="F36" s="7">
        <v>0</v>
      </c>
      <c r="G36" s="8"/>
      <c r="H36" s="8">
        <v>56.666666666666664</v>
      </c>
      <c r="I36" s="8">
        <v>30</v>
      </c>
      <c r="J36" s="8"/>
      <c r="K36" s="8">
        <v>94</v>
      </c>
      <c r="L36" s="8">
        <v>159</v>
      </c>
    </row>
    <row r="37" spans="1:12" ht="15.75">
      <c r="A37" s="1" t="s">
        <v>31</v>
      </c>
      <c r="B37" s="8">
        <v>780</v>
      </c>
      <c r="C37" s="7">
        <v>1174</v>
      </c>
      <c r="D37" s="8"/>
      <c r="E37" s="8">
        <v>7.666666666666667</v>
      </c>
      <c r="F37" s="7">
        <v>0</v>
      </c>
      <c r="G37" s="8"/>
      <c r="H37" s="8">
        <v>373</v>
      </c>
      <c r="I37" s="8">
        <v>374</v>
      </c>
      <c r="J37" s="8"/>
      <c r="K37" s="8">
        <v>399.3333333333333</v>
      </c>
      <c r="L37" s="8">
        <v>800</v>
      </c>
    </row>
    <row r="38" spans="1:12" ht="15.75">
      <c r="A38" s="1" t="s">
        <v>32</v>
      </c>
      <c r="B38" s="8">
        <v>1447</v>
      </c>
      <c r="C38" s="7">
        <v>2178</v>
      </c>
      <c r="D38" s="8"/>
      <c r="E38" s="8">
        <v>13.333333333333334</v>
      </c>
      <c r="F38" s="8">
        <v>8</v>
      </c>
      <c r="G38" s="8"/>
      <c r="H38" s="8">
        <v>753.3333333333334</v>
      </c>
      <c r="I38" s="8">
        <v>732</v>
      </c>
      <c r="J38" s="8"/>
      <c r="K38" s="8">
        <v>680.3333333333334</v>
      </c>
      <c r="L38" s="8">
        <v>1438</v>
      </c>
    </row>
    <row r="39" spans="1:12" ht="15.75">
      <c r="A39" s="1" t="s">
        <v>33</v>
      </c>
      <c r="B39" s="8">
        <v>389</v>
      </c>
      <c r="C39" s="7">
        <v>532</v>
      </c>
      <c r="D39" s="8"/>
      <c r="E39" s="8">
        <v>6.666666666666667</v>
      </c>
      <c r="F39" s="8">
        <v>6</v>
      </c>
      <c r="G39" s="8"/>
      <c r="H39" s="8">
        <v>157</v>
      </c>
      <c r="I39" s="8">
        <v>138</v>
      </c>
      <c r="J39" s="8"/>
      <c r="K39" s="8">
        <v>225.33333333333334</v>
      </c>
      <c r="L39" s="8">
        <v>388</v>
      </c>
    </row>
    <row r="40" spans="1:12" ht="15.75">
      <c r="A40" s="1" t="s">
        <v>34</v>
      </c>
      <c r="B40" s="8">
        <v>888.6666666666666</v>
      </c>
      <c r="C40" s="7">
        <v>1565</v>
      </c>
      <c r="D40" s="8"/>
      <c r="E40" s="8">
        <v>8.333333333333334</v>
      </c>
      <c r="F40" s="8">
        <v>5</v>
      </c>
      <c r="G40" s="8"/>
      <c r="H40" s="8">
        <v>379.3333333333333</v>
      </c>
      <c r="I40" s="8">
        <v>391</v>
      </c>
      <c r="J40" s="8"/>
      <c r="K40" s="8">
        <v>501</v>
      </c>
      <c r="L40" s="8">
        <v>1169</v>
      </c>
    </row>
    <row r="41" spans="1:12" ht="15.75">
      <c r="A41" s="1" t="s">
        <v>35</v>
      </c>
      <c r="B41" s="8">
        <v>996</v>
      </c>
      <c r="C41" s="7">
        <v>1603</v>
      </c>
      <c r="D41" s="8"/>
      <c r="E41" s="8">
        <v>11</v>
      </c>
      <c r="F41" s="8">
        <v>6</v>
      </c>
      <c r="G41" s="8"/>
      <c r="H41" s="8">
        <v>474.3333333333333</v>
      </c>
      <c r="I41" s="8">
        <v>433</v>
      </c>
      <c r="J41" s="8"/>
      <c r="K41" s="8">
        <v>510.6666666666667</v>
      </c>
      <c r="L41" s="8">
        <v>1164</v>
      </c>
    </row>
    <row r="42" spans="1:12" ht="15.75">
      <c r="A42" s="1" t="s">
        <v>36</v>
      </c>
      <c r="B42" s="8">
        <v>10947.666666666666</v>
      </c>
      <c r="C42" s="7">
        <v>14956</v>
      </c>
      <c r="D42" s="8"/>
      <c r="E42" s="8">
        <v>52.333333333333336</v>
      </c>
      <c r="F42" s="8">
        <v>39</v>
      </c>
      <c r="G42" s="8"/>
      <c r="H42" s="8">
        <v>5512.666666666667</v>
      </c>
      <c r="I42" s="8">
        <v>5156</v>
      </c>
      <c r="J42" s="8"/>
      <c r="K42" s="8">
        <v>5382.666666666667</v>
      </c>
      <c r="L42" s="8">
        <v>9761</v>
      </c>
    </row>
    <row r="43" spans="1:12" ht="15.75">
      <c r="A43" s="1" t="s">
        <v>37</v>
      </c>
      <c r="B43" s="8">
        <v>707.3333333333334</v>
      </c>
      <c r="C43" s="7">
        <v>1238</v>
      </c>
      <c r="D43" s="8"/>
      <c r="E43" s="8">
        <v>6.333333333333333</v>
      </c>
      <c r="F43" s="8">
        <v>6</v>
      </c>
      <c r="G43" s="8"/>
      <c r="H43" s="8">
        <v>349</v>
      </c>
      <c r="I43" s="8">
        <v>357</v>
      </c>
      <c r="J43" s="8"/>
      <c r="K43" s="8">
        <v>352</v>
      </c>
      <c r="L43" s="8">
        <v>875</v>
      </c>
    </row>
    <row r="44" spans="1:12" ht="15.75">
      <c r="A44" s="1" t="s">
        <v>38</v>
      </c>
      <c r="B44" s="8">
        <v>25178.333333333332</v>
      </c>
      <c r="C44" s="7">
        <v>34189</v>
      </c>
      <c r="D44" s="8"/>
      <c r="E44" s="8">
        <v>97.66666666666667</v>
      </c>
      <c r="F44" s="8">
        <v>90</v>
      </c>
      <c r="G44" s="8"/>
      <c r="H44" s="8">
        <v>14608.333333333334</v>
      </c>
      <c r="I44" s="8">
        <v>13590</v>
      </c>
      <c r="J44" s="8"/>
      <c r="K44" s="8">
        <v>10472.333333333334</v>
      </c>
      <c r="L44" s="8">
        <v>20509</v>
      </c>
    </row>
    <row r="45" spans="1:12" ht="15.75">
      <c r="A45" s="1" t="s">
        <v>39</v>
      </c>
      <c r="B45" s="8">
        <v>2666</v>
      </c>
      <c r="C45" s="7">
        <v>3697</v>
      </c>
      <c r="D45" s="8"/>
      <c r="E45" s="8">
        <v>17.666666666666668</v>
      </c>
      <c r="F45" s="8">
        <v>16</v>
      </c>
      <c r="G45" s="8"/>
      <c r="H45" s="8">
        <v>1550.3333333333333</v>
      </c>
      <c r="I45" s="8">
        <v>1387</v>
      </c>
      <c r="J45" s="8"/>
      <c r="K45" s="8">
        <v>1098</v>
      </c>
      <c r="L45" s="8">
        <v>2294</v>
      </c>
    </row>
    <row r="46" spans="1:12" ht="15.75">
      <c r="A46" s="1" t="s">
        <v>40</v>
      </c>
      <c r="B46" s="8">
        <v>3385.3333333333335</v>
      </c>
      <c r="C46" s="7">
        <v>5088</v>
      </c>
      <c r="D46" s="8"/>
      <c r="E46" s="8">
        <v>21.333333333333332</v>
      </c>
      <c r="F46" s="8">
        <v>20</v>
      </c>
      <c r="G46" s="8"/>
      <c r="H46" s="8">
        <v>1795.6666666666667</v>
      </c>
      <c r="I46" s="8">
        <v>1558</v>
      </c>
      <c r="J46" s="8"/>
      <c r="K46" s="8">
        <v>1568.3333333333333</v>
      </c>
      <c r="L46" s="8">
        <v>3510</v>
      </c>
    </row>
    <row r="47" spans="1:12" ht="15.75">
      <c r="A47" s="1" t="s">
        <v>41</v>
      </c>
      <c r="B47" s="8">
        <v>6945.666666666667</v>
      </c>
      <c r="C47" s="7">
        <v>10931</v>
      </c>
      <c r="D47" s="8"/>
      <c r="E47" s="8">
        <v>32</v>
      </c>
      <c r="F47" s="8">
        <v>34</v>
      </c>
      <c r="G47" s="8"/>
      <c r="H47" s="8">
        <v>3587</v>
      </c>
      <c r="I47" s="8">
        <v>3452</v>
      </c>
      <c r="J47" s="8"/>
      <c r="K47" s="8">
        <v>3326.6666666666665</v>
      </c>
      <c r="L47" s="8">
        <v>7445</v>
      </c>
    </row>
    <row r="48" spans="1:12" ht="15.75">
      <c r="A48" s="1" t="s">
        <v>42</v>
      </c>
      <c r="B48" s="8">
        <v>1579</v>
      </c>
      <c r="C48" s="7">
        <v>2348</v>
      </c>
      <c r="D48" s="8"/>
      <c r="E48" s="8">
        <v>15.666666666666666</v>
      </c>
      <c r="F48" s="8">
        <v>17</v>
      </c>
      <c r="G48" s="8"/>
      <c r="H48" s="8">
        <v>709.6666666666666</v>
      </c>
      <c r="I48" s="8">
        <v>693</v>
      </c>
      <c r="J48" s="8"/>
      <c r="K48" s="8">
        <v>853.6666666666666</v>
      </c>
      <c r="L48" s="8">
        <v>1638</v>
      </c>
    </row>
    <row r="49" spans="1:12" ht="15.75">
      <c r="A49" s="1" t="s">
        <v>43</v>
      </c>
      <c r="B49" s="8">
        <v>6266.333333333333</v>
      </c>
      <c r="C49" s="7">
        <v>10000</v>
      </c>
      <c r="D49" s="8"/>
      <c r="E49" s="8">
        <v>43.333333333333336</v>
      </c>
      <c r="F49" s="8">
        <v>38</v>
      </c>
      <c r="G49" s="8"/>
      <c r="H49" s="8">
        <v>3428.6666666666665</v>
      </c>
      <c r="I49" s="8">
        <v>3246</v>
      </c>
      <c r="J49" s="8"/>
      <c r="K49" s="8">
        <v>2794.3333333333335</v>
      </c>
      <c r="L49" s="8">
        <v>6716</v>
      </c>
    </row>
    <row r="50" spans="1:12" ht="15.75">
      <c r="A50" s="1" t="s">
        <v>44</v>
      </c>
      <c r="B50" s="8">
        <v>457</v>
      </c>
      <c r="C50" s="7">
        <v>731</v>
      </c>
      <c r="D50" s="8"/>
      <c r="E50" s="8">
        <v>5</v>
      </c>
      <c r="F50" s="8">
        <v>6</v>
      </c>
      <c r="G50" s="8"/>
      <c r="H50" s="8">
        <v>219.33333333333334</v>
      </c>
      <c r="I50" s="8">
        <v>215</v>
      </c>
      <c r="J50" s="8"/>
      <c r="K50" s="8">
        <v>232.66666666666666</v>
      </c>
      <c r="L50" s="8">
        <v>510</v>
      </c>
    </row>
    <row r="51" spans="1:12" ht="15.75">
      <c r="A51" s="1" t="s">
        <v>45</v>
      </c>
      <c r="B51" s="8">
        <v>1532.3333333333333</v>
      </c>
      <c r="C51" s="7">
        <v>2225</v>
      </c>
      <c r="D51" s="8"/>
      <c r="E51" s="8">
        <v>18</v>
      </c>
      <c r="F51" s="8">
        <v>16</v>
      </c>
      <c r="G51" s="8"/>
      <c r="H51" s="8">
        <v>799.6666666666666</v>
      </c>
      <c r="I51" s="8">
        <v>805</v>
      </c>
      <c r="J51" s="8"/>
      <c r="K51" s="8">
        <v>714.6666666666666</v>
      </c>
      <c r="L51" s="8">
        <v>1404</v>
      </c>
    </row>
    <row r="52" spans="1:12" ht="15.75">
      <c r="A52" s="1" t="s">
        <v>46</v>
      </c>
      <c r="B52" s="8">
        <v>972</v>
      </c>
      <c r="C52" s="7">
        <v>1638</v>
      </c>
      <c r="D52" s="8"/>
      <c r="E52" s="8">
        <v>7.333333333333333</v>
      </c>
      <c r="F52" s="8">
        <v>15</v>
      </c>
      <c r="G52" s="8"/>
      <c r="H52" s="8">
        <v>438.6666666666667</v>
      </c>
      <c r="I52" s="8">
        <v>447</v>
      </c>
      <c r="J52" s="8"/>
      <c r="K52" s="8">
        <v>526</v>
      </c>
      <c r="L52" s="8">
        <v>1176</v>
      </c>
    </row>
    <row r="53" spans="1:12" ht="15.75">
      <c r="A53" s="1" t="s">
        <v>47</v>
      </c>
      <c r="B53" s="8">
        <v>1808.3333333333333</v>
      </c>
      <c r="C53" s="7">
        <v>2714</v>
      </c>
      <c r="D53" s="8"/>
      <c r="E53" s="8">
        <v>10.666666666666666</v>
      </c>
      <c r="F53" s="8">
        <v>14</v>
      </c>
      <c r="G53" s="8"/>
      <c r="H53" s="8">
        <v>873.3333333333334</v>
      </c>
      <c r="I53" s="8">
        <v>849</v>
      </c>
      <c r="J53" s="8"/>
      <c r="K53" s="8">
        <v>924.3333333333334</v>
      </c>
      <c r="L53" s="8">
        <v>1851</v>
      </c>
    </row>
    <row r="54" spans="1:12" ht="15.75">
      <c r="A54" s="1" t="s">
        <v>48</v>
      </c>
      <c r="B54" s="8">
        <v>1925.6666666666667</v>
      </c>
      <c r="C54" s="7">
        <v>2769</v>
      </c>
      <c r="D54" s="8"/>
      <c r="E54" s="8">
        <v>13</v>
      </c>
      <c r="F54" s="8">
        <v>12</v>
      </c>
      <c r="G54" s="8"/>
      <c r="H54" s="8">
        <v>1025.3333333333333</v>
      </c>
      <c r="I54" s="8">
        <v>961</v>
      </c>
      <c r="J54" s="8"/>
      <c r="K54" s="8">
        <v>887.3333333333334</v>
      </c>
      <c r="L54" s="8">
        <v>1796</v>
      </c>
    </row>
    <row r="55" spans="1:12" ht="15.75">
      <c r="A55" s="1" t="s">
        <v>49</v>
      </c>
      <c r="B55" s="8">
        <v>4698.333333333333</v>
      </c>
      <c r="C55" s="7">
        <v>6523</v>
      </c>
      <c r="D55" s="8"/>
      <c r="E55" s="8">
        <v>26.333333333333332</v>
      </c>
      <c r="F55" s="8">
        <v>17</v>
      </c>
      <c r="G55" s="8"/>
      <c r="H55" s="8">
        <v>2663.3333333333335</v>
      </c>
      <c r="I55" s="8">
        <v>2410</v>
      </c>
      <c r="J55" s="8"/>
      <c r="K55" s="8">
        <v>2008.6666666666667</v>
      </c>
      <c r="L55" s="8">
        <v>4096</v>
      </c>
    </row>
    <row r="56" spans="1:12" ht="15.75">
      <c r="A56" s="1" t="s">
        <v>50</v>
      </c>
      <c r="B56" s="8">
        <v>1450</v>
      </c>
      <c r="C56" s="7">
        <v>2547</v>
      </c>
      <c r="D56" s="8"/>
      <c r="E56" s="8">
        <v>10.666666666666666</v>
      </c>
      <c r="F56" s="8">
        <v>19</v>
      </c>
      <c r="G56" s="8"/>
      <c r="H56" s="8">
        <v>597.3333333333334</v>
      </c>
      <c r="I56" s="8">
        <v>589</v>
      </c>
      <c r="J56" s="8"/>
      <c r="K56" s="8">
        <v>842</v>
      </c>
      <c r="L56" s="8">
        <v>1939</v>
      </c>
    </row>
    <row r="57" spans="1:12" ht="15.75">
      <c r="A57" s="1" t="s">
        <v>51</v>
      </c>
      <c r="B57" s="8">
        <v>2684.6666666666665</v>
      </c>
      <c r="C57" s="7">
        <v>4200</v>
      </c>
      <c r="D57" s="8"/>
      <c r="E57" s="8">
        <v>20.333333333333332</v>
      </c>
      <c r="F57" s="8">
        <v>14</v>
      </c>
      <c r="G57" s="8"/>
      <c r="H57" s="8">
        <v>1307.3333333333333</v>
      </c>
      <c r="I57" s="8">
        <v>1144</v>
      </c>
      <c r="J57" s="8"/>
      <c r="K57" s="8">
        <v>1357</v>
      </c>
      <c r="L57" s="8">
        <v>3042</v>
      </c>
    </row>
    <row r="58" spans="1:12" ht="15.75">
      <c r="A58" s="1" t="s">
        <v>52</v>
      </c>
      <c r="B58" s="8">
        <v>2092</v>
      </c>
      <c r="C58" s="7">
        <v>3308</v>
      </c>
      <c r="D58" s="8"/>
      <c r="E58" s="8">
        <v>10</v>
      </c>
      <c r="F58" s="8">
        <v>7</v>
      </c>
      <c r="G58" s="8"/>
      <c r="H58" s="8">
        <v>1130</v>
      </c>
      <c r="I58" s="8">
        <v>1061</v>
      </c>
      <c r="J58" s="8"/>
      <c r="K58" s="8">
        <v>952</v>
      </c>
      <c r="L58" s="8">
        <v>2240</v>
      </c>
    </row>
    <row r="59" spans="1:12" ht="15.75">
      <c r="A59" s="1" t="s">
        <v>53</v>
      </c>
      <c r="B59" s="8">
        <v>458</v>
      </c>
      <c r="C59" s="7">
        <v>716</v>
      </c>
      <c r="D59" s="8"/>
      <c r="E59" s="8">
        <v>4.666666666666667</v>
      </c>
      <c r="F59" s="8">
        <v>2</v>
      </c>
      <c r="G59" s="8"/>
      <c r="H59" s="8">
        <v>221.66666666666666</v>
      </c>
      <c r="I59" s="8">
        <v>214</v>
      </c>
      <c r="J59" s="8"/>
      <c r="K59" s="8">
        <v>231.66666666666666</v>
      </c>
      <c r="L59" s="8">
        <v>500</v>
      </c>
    </row>
    <row r="60" spans="1:12" ht="15.75">
      <c r="A60" s="1" t="s">
        <v>54</v>
      </c>
      <c r="B60" s="8">
        <v>314.6666666666667</v>
      </c>
      <c r="C60" s="7">
        <v>528</v>
      </c>
      <c r="D60" s="8"/>
      <c r="E60" s="8">
        <v>1.3333333333333333</v>
      </c>
      <c r="F60" s="7">
        <v>0</v>
      </c>
      <c r="G60" s="8"/>
      <c r="H60" s="8">
        <v>133</v>
      </c>
      <c r="I60" s="8">
        <v>135</v>
      </c>
      <c r="J60" s="8"/>
      <c r="K60" s="8">
        <v>180.33333333333334</v>
      </c>
      <c r="L60" s="8">
        <v>393</v>
      </c>
    </row>
    <row r="61" spans="1:12" ht="15.75">
      <c r="A61" s="1" t="s">
        <v>55</v>
      </c>
      <c r="B61" s="8">
        <v>459.6666666666667</v>
      </c>
      <c r="C61" s="7">
        <v>773</v>
      </c>
      <c r="D61" s="8"/>
      <c r="E61" s="8">
        <v>4.666666666666667</v>
      </c>
      <c r="F61" s="8">
        <v>12</v>
      </c>
      <c r="G61" s="8"/>
      <c r="H61" s="8">
        <v>231</v>
      </c>
      <c r="I61" s="8">
        <v>228</v>
      </c>
      <c r="J61" s="8"/>
      <c r="K61" s="8">
        <v>224</v>
      </c>
      <c r="L61" s="8">
        <v>533</v>
      </c>
    </row>
    <row r="62" spans="1:12" ht="15.75">
      <c r="A62" s="1" t="s">
        <v>56</v>
      </c>
      <c r="B62" s="8">
        <v>1308.3333333333333</v>
      </c>
      <c r="C62" s="7">
        <v>2131</v>
      </c>
      <c r="D62" s="8"/>
      <c r="E62" s="8">
        <v>12.333333333333334</v>
      </c>
      <c r="F62" s="8">
        <v>16</v>
      </c>
      <c r="G62" s="8"/>
      <c r="H62" s="8">
        <v>636.6666666666666</v>
      </c>
      <c r="I62" s="8">
        <v>576</v>
      </c>
      <c r="J62" s="8"/>
      <c r="K62" s="8">
        <v>659.3333333333334</v>
      </c>
      <c r="L62" s="8">
        <v>1539</v>
      </c>
    </row>
    <row r="63" spans="1:12" ht="15.75">
      <c r="A63" s="1" t="s">
        <v>57</v>
      </c>
      <c r="B63" s="8">
        <v>23201.666666666668</v>
      </c>
      <c r="C63" s="7">
        <v>31991</v>
      </c>
      <c r="D63" s="8"/>
      <c r="E63" s="8">
        <v>150.33333333333334</v>
      </c>
      <c r="F63" s="8">
        <v>157</v>
      </c>
      <c r="G63" s="8"/>
      <c r="H63" s="8">
        <v>13988</v>
      </c>
      <c r="I63" s="8">
        <v>13743</v>
      </c>
      <c r="J63" s="8"/>
      <c r="K63" s="8">
        <v>9063.333333333334</v>
      </c>
      <c r="L63" s="8">
        <v>18091</v>
      </c>
    </row>
    <row r="64" spans="1:12" ht="15.75">
      <c r="A64" s="1" t="s">
        <v>58</v>
      </c>
      <c r="B64" s="8">
        <v>1319</v>
      </c>
      <c r="C64" s="7">
        <v>2177</v>
      </c>
      <c r="D64" s="8"/>
      <c r="E64" s="8">
        <v>15.333333333333334</v>
      </c>
      <c r="F64" s="8">
        <v>8</v>
      </c>
      <c r="G64" s="8"/>
      <c r="H64" s="8">
        <v>727.6666666666666</v>
      </c>
      <c r="I64" s="8">
        <v>685</v>
      </c>
      <c r="J64" s="8"/>
      <c r="K64" s="8">
        <v>576</v>
      </c>
      <c r="L64" s="8">
        <v>1484</v>
      </c>
    </row>
    <row r="65" spans="1:12" ht="15.75">
      <c r="A65" s="1" t="s">
        <v>59</v>
      </c>
      <c r="B65" s="8">
        <v>613.6666666666666</v>
      </c>
      <c r="C65" s="7">
        <v>927</v>
      </c>
      <c r="D65" s="8"/>
      <c r="E65" s="8">
        <v>4.666666666666667</v>
      </c>
      <c r="F65" s="8">
        <v>9</v>
      </c>
      <c r="G65" s="8"/>
      <c r="H65" s="8">
        <v>284</v>
      </c>
      <c r="I65" s="8">
        <v>287</v>
      </c>
      <c r="J65" s="8"/>
      <c r="K65" s="8">
        <v>325</v>
      </c>
      <c r="L65" s="8">
        <v>631</v>
      </c>
    </row>
    <row r="66" spans="1:12" ht="15.75">
      <c r="A66" s="1" t="s">
        <v>60</v>
      </c>
      <c r="B66" s="8">
        <v>1308</v>
      </c>
      <c r="C66" s="7">
        <v>2431</v>
      </c>
      <c r="D66" s="8"/>
      <c r="E66" s="8">
        <v>9.666666666666666</v>
      </c>
      <c r="F66" s="8">
        <v>7</v>
      </c>
      <c r="G66" s="8"/>
      <c r="H66" s="8">
        <v>603.3333333333334</v>
      </c>
      <c r="I66" s="8">
        <v>603</v>
      </c>
      <c r="J66" s="8"/>
      <c r="K66" s="8">
        <v>695</v>
      </c>
      <c r="L66" s="8">
        <v>1821</v>
      </c>
    </row>
    <row r="67" spans="1:12" ht="15.75">
      <c r="A67" s="1" t="s">
        <v>61</v>
      </c>
      <c r="B67" s="8">
        <v>3006.6666666666665</v>
      </c>
      <c r="C67" s="7">
        <v>4466</v>
      </c>
      <c r="D67" s="8"/>
      <c r="E67" s="8">
        <v>26</v>
      </c>
      <c r="F67" s="8">
        <v>33</v>
      </c>
      <c r="G67" s="8"/>
      <c r="H67" s="8">
        <v>1648.3333333333333</v>
      </c>
      <c r="I67" s="8">
        <v>1534</v>
      </c>
      <c r="J67" s="8"/>
      <c r="K67" s="8">
        <v>1332.3333333333333</v>
      </c>
      <c r="L67" s="8">
        <v>2899</v>
      </c>
    </row>
    <row r="68" spans="1:12" ht="15.75">
      <c r="A68" s="1" t="s">
        <v>62</v>
      </c>
      <c r="B68" s="8">
        <v>1157</v>
      </c>
      <c r="C68" s="7">
        <v>1818</v>
      </c>
      <c r="D68" s="8"/>
      <c r="E68" s="8">
        <v>8.333333333333334</v>
      </c>
      <c r="F68" s="8">
        <v>8</v>
      </c>
      <c r="G68" s="8"/>
      <c r="H68" s="8">
        <v>601</v>
      </c>
      <c r="I68" s="8">
        <v>574</v>
      </c>
      <c r="J68" s="8"/>
      <c r="K68" s="8">
        <v>547.6666666666666</v>
      </c>
      <c r="L68" s="8">
        <v>1236</v>
      </c>
    </row>
    <row r="69" spans="1:12" ht="15.75">
      <c r="A69" s="1" t="s">
        <v>63</v>
      </c>
      <c r="B69" s="8">
        <v>766.3333333333334</v>
      </c>
      <c r="C69" s="7">
        <v>1085</v>
      </c>
      <c r="D69" s="8"/>
      <c r="E69" s="8">
        <v>6.333333333333333</v>
      </c>
      <c r="F69" s="8">
        <v>7</v>
      </c>
      <c r="G69" s="8"/>
      <c r="H69" s="8">
        <v>392.6666666666667</v>
      </c>
      <c r="I69" s="8">
        <v>379</v>
      </c>
      <c r="J69" s="8"/>
      <c r="K69" s="8">
        <v>367.3333333333333</v>
      </c>
      <c r="L69" s="8">
        <v>699</v>
      </c>
    </row>
    <row r="70" spans="1:12" ht="15.75">
      <c r="A70" s="1" t="s">
        <v>64</v>
      </c>
      <c r="B70" s="8">
        <v>1131.6666666666667</v>
      </c>
      <c r="C70" s="7">
        <v>1798</v>
      </c>
      <c r="D70" s="8"/>
      <c r="E70" s="8">
        <v>13</v>
      </c>
      <c r="F70" s="8">
        <v>9</v>
      </c>
      <c r="G70" s="8"/>
      <c r="H70" s="8">
        <v>500.6666666666667</v>
      </c>
      <c r="I70" s="1">
        <v>468</v>
      </c>
      <c r="J70" s="8"/>
      <c r="K70" s="8">
        <v>618</v>
      </c>
      <c r="L70" s="8">
        <v>1321</v>
      </c>
    </row>
    <row r="71" spans="1:12" ht="15.75">
      <c r="A71" s="1" t="s">
        <v>65</v>
      </c>
      <c r="B71" s="8">
        <v>13096.333333333334</v>
      </c>
      <c r="C71" s="7">
        <v>16660</v>
      </c>
      <c r="D71" s="8"/>
      <c r="E71" s="8">
        <v>51.666666666666664</v>
      </c>
      <c r="F71" s="8">
        <v>36</v>
      </c>
      <c r="G71" s="8"/>
      <c r="H71" s="8">
        <v>7009</v>
      </c>
      <c r="I71" s="8">
        <v>6459</v>
      </c>
      <c r="J71" s="8"/>
      <c r="K71" s="8">
        <v>6035.666666666667</v>
      </c>
      <c r="L71" s="8">
        <v>10165</v>
      </c>
    </row>
    <row r="72" spans="1:12" ht="15.75">
      <c r="A72" s="1" t="s">
        <v>66</v>
      </c>
      <c r="B72" s="8">
        <v>623.6666666666666</v>
      </c>
      <c r="C72" s="7">
        <v>1108</v>
      </c>
      <c r="D72" s="8"/>
      <c r="E72" s="8">
        <v>7.333333333333333</v>
      </c>
      <c r="F72" s="8">
        <v>8</v>
      </c>
      <c r="G72" s="8"/>
      <c r="H72" s="8">
        <v>264.6666666666667</v>
      </c>
      <c r="I72" s="8">
        <v>259</v>
      </c>
      <c r="J72" s="8"/>
      <c r="K72" s="8">
        <v>351.6666666666667</v>
      </c>
      <c r="L72" s="8">
        <v>841</v>
      </c>
    </row>
    <row r="73" spans="1:12" ht="15.75">
      <c r="A73" s="1" t="s">
        <v>67</v>
      </c>
      <c r="B73" s="8">
        <v>232</v>
      </c>
      <c r="C73" s="7">
        <v>497</v>
      </c>
      <c r="D73" s="8"/>
      <c r="E73" s="8">
        <v>2.3333333333333335</v>
      </c>
      <c r="F73" s="7">
        <v>4</v>
      </c>
      <c r="G73" s="8"/>
      <c r="H73" s="8">
        <v>105.33333333333333</v>
      </c>
      <c r="I73" s="8">
        <v>141</v>
      </c>
      <c r="J73" s="8"/>
      <c r="K73" s="8">
        <v>124.33333333333333</v>
      </c>
      <c r="L73" s="8">
        <v>352</v>
      </c>
    </row>
    <row r="74" spans="1:12" ht="15.75">
      <c r="A74" s="1"/>
      <c r="B74" s="8"/>
      <c r="C74" s="7"/>
      <c r="D74" s="8"/>
      <c r="E74" s="8"/>
      <c r="F74" s="7"/>
      <c r="G74" s="8"/>
      <c r="H74" s="8"/>
      <c r="I74" s="8"/>
      <c r="J74" s="8"/>
      <c r="K74" s="8"/>
      <c r="L74" s="8"/>
    </row>
    <row r="75" spans="1:12" ht="15.75">
      <c r="A75" s="1" t="s">
        <v>71</v>
      </c>
      <c r="B75" s="8">
        <v>501.6666666666667</v>
      </c>
      <c r="C75" s="7">
        <v>491</v>
      </c>
      <c r="D75" s="8"/>
      <c r="E75" s="7">
        <v>0</v>
      </c>
      <c r="F75" s="7">
        <v>0</v>
      </c>
      <c r="G75" s="8"/>
      <c r="H75" s="8">
        <v>109.66666666666667</v>
      </c>
      <c r="I75" s="8">
        <v>93</v>
      </c>
      <c r="J75" s="8"/>
      <c r="K75" s="8">
        <v>392</v>
      </c>
      <c r="L75" s="8">
        <v>398</v>
      </c>
    </row>
    <row r="76" spans="1:12" ht="15.75">
      <c r="A76" s="3"/>
      <c r="B76" s="14"/>
      <c r="C76" s="15" t="s">
        <v>72</v>
      </c>
      <c r="D76" s="14"/>
      <c r="E76" s="14"/>
      <c r="F76" s="14"/>
      <c r="G76" s="14"/>
      <c r="H76" s="14"/>
      <c r="I76" s="14"/>
      <c r="J76" s="14"/>
      <c r="K76" s="14"/>
      <c r="L76" s="14"/>
    </row>
    <row r="77" spans="1:12" ht="48" customHeight="1">
      <c r="A77" s="28" t="s">
        <v>76</v>
      </c>
      <c r="B77" s="28"/>
      <c r="C77" s="28"/>
      <c r="D77" s="28"/>
      <c r="E77" s="28"/>
      <c r="F77" s="28"/>
      <c r="G77" s="28"/>
      <c r="H77" s="28"/>
      <c r="I77" s="28"/>
      <c r="J77" s="28"/>
      <c r="K77" s="28"/>
      <c r="L77" s="28"/>
    </row>
    <row r="78" spans="1:12" ht="15.75">
      <c r="A78" s="1"/>
      <c r="B78" s="8"/>
      <c r="C78" s="7"/>
      <c r="D78" s="8"/>
      <c r="E78" s="8"/>
      <c r="F78" s="8"/>
      <c r="G78" s="8"/>
      <c r="H78" s="8"/>
      <c r="I78" s="8"/>
      <c r="J78" s="8"/>
      <c r="K78" s="8"/>
      <c r="L78" s="8"/>
    </row>
    <row r="79" spans="1:12" ht="31.5" customHeight="1">
      <c r="A79" s="28" t="s">
        <v>77</v>
      </c>
      <c r="B79" s="28"/>
      <c r="C79" s="28"/>
      <c r="D79" s="28"/>
      <c r="E79" s="28"/>
      <c r="F79" s="28"/>
      <c r="G79" s="28"/>
      <c r="H79" s="28"/>
      <c r="I79" s="28"/>
      <c r="J79" s="28"/>
      <c r="K79" s="28"/>
      <c r="L79" s="28"/>
    </row>
    <row r="80" spans="1:12" ht="45" customHeight="1">
      <c r="A80" s="29" t="s">
        <v>78</v>
      </c>
      <c r="B80" s="29"/>
      <c r="C80" s="29"/>
      <c r="D80" s="29"/>
      <c r="E80" s="29"/>
      <c r="F80" s="29"/>
      <c r="G80" s="29"/>
      <c r="H80" s="29"/>
      <c r="I80" s="29"/>
      <c r="J80" s="29"/>
      <c r="K80" s="29"/>
      <c r="L80" s="29"/>
    </row>
    <row r="81" spans="1:12" ht="45" customHeight="1">
      <c r="A81" s="28" t="s">
        <v>79</v>
      </c>
      <c r="B81" s="28"/>
      <c r="C81" s="28"/>
      <c r="D81" s="28"/>
      <c r="E81" s="28"/>
      <c r="F81" s="28"/>
      <c r="G81" s="28"/>
      <c r="H81" s="28"/>
      <c r="I81" s="28"/>
      <c r="J81" s="28"/>
      <c r="K81" s="28"/>
      <c r="L81" s="28"/>
    </row>
    <row r="82" spans="1:12" ht="15.75">
      <c r="A82" s="1"/>
      <c r="B82" s="16"/>
      <c r="C82" s="1"/>
      <c r="D82" s="1"/>
      <c r="E82" s="1"/>
      <c r="F82" s="1"/>
      <c r="G82" s="1"/>
      <c r="H82" s="1"/>
      <c r="I82" s="1"/>
      <c r="J82" s="1"/>
      <c r="K82" s="1"/>
      <c r="L82" s="1"/>
    </row>
    <row r="83" spans="1:12" ht="15.75">
      <c r="A83" s="1" t="s">
        <v>68</v>
      </c>
      <c r="B83" s="1"/>
      <c r="C83" s="2"/>
      <c r="D83" s="1"/>
      <c r="E83" s="1"/>
      <c r="F83" s="1"/>
      <c r="G83" s="1"/>
      <c r="H83" s="1"/>
      <c r="I83" s="1"/>
      <c r="J83" s="1"/>
      <c r="K83" s="1"/>
      <c r="L83" s="1"/>
    </row>
  </sheetData>
  <sheetProtection/>
  <mergeCells count="8">
    <mergeCell ref="A80:L80"/>
    <mergeCell ref="A81:L81"/>
    <mergeCell ref="B4:C4"/>
    <mergeCell ref="E4:F4"/>
    <mergeCell ref="H4:I4"/>
    <mergeCell ref="K4:L4"/>
    <mergeCell ref="A77:L77"/>
    <mergeCell ref="A79:L79"/>
  </mergeCells>
  <printOptions/>
  <pageMargins left="0.7" right="0.7" top="0.75" bottom="0.75" header="0.3" footer="0.3"/>
  <pageSetup fitToHeight="2" fitToWidth="1" horizontalDpi="1200" verticalDpi="1200" orientation="landscape" scale="76" r:id="rId1"/>
</worksheet>
</file>

<file path=xl/worksheets/sheet7.xml><?xml version="1.0" encoding="utf-8"?>
<worksheet xmlns="http://schemas.openxmlformats.org/spreadsheetml/2006/main" xmlns:r="http://schemas.openxmlformats.org/officeDocument/2006/relationships">
  <dimension ref="A1:M88"/>
  <sheetViews>
    <sheetView zoomScalePageLayoutView="0" workbookViewId="0" topLeftCell="A1">
      <selection activeCell="A1" sqref="A1"/>
    </sheetView>
  </sheetViews>
  <sheetFormatPr defaultColWidth="10.77734375" defaultRowHeight="15.75"/>
  <cols>
    <col min="1" max="1" width="25.77734375" style="0" customWidth="1"/>
    <col min="2" max="3" width="10.77734375" style="0" customWidth="1"/>
    <col min="4" max="4" width="2.77734375" style="0" customWidth="1"/>
    <col min="5" max="6" width="10.77734375" style="0" customWidth="1"/>
    <col min="7" max="7" width="2.77734375" style="0" customWidth="1"/>
    <col min="8" max="9" width="10.77734375" style="0" customWidth="1"/>
    <col min="10" max="10" width="2.77734375" style="0" customWidth="1"/>
  </cols>
  <sheetData>
    <row r="1" spans="1:12" ht="20.25">
      <c r="A1" s="12" t="s">
        <v>0</v>
      </c>
      <c r="B1" s="1"/>
      <c r="C1" s="2"/>
      <c r="D1" s="1"/>
      <c r="E1" s="1"/>
      <c r="F1" s="1"/>
      <c r="G1" s="1"/>
      <c r="H1" s="1"/>
      <c r="I1" s="1"/>
      <c r="J1" s="1"/>
      <c r="K1" s="1"/>
      <c r="L1" s="1"/>
    </row>
    <row r="2" spans="1:12" ht="20.25">
      <c r="A2" s="12" t="s">
        <v>96</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93</v>
      </c>
      <c r="C4" s="30"/>
      <c r="D4" s="3"/>
      <c r="E4" s="30" t="s">
        <v>69</v>
      </c>
      <c r="F4" s="30"/>
      <c r="G4" s="3"/>
      <c r="H4" s="30" t="s">
        <v>70</v>
      </c>
      <c r="I4" s="30"/>
      <c r="J4" s="3"/>
      <c r="K4" s="30" t="s">
        <v>92</v>
      </c>
      <c r="L4" s="30"/>
    </row>
    <row r="5" spans="1:12" ht="29.25">
      <c r="A5" s="4" t="s">
        <v>1</v>
      </c>
      <c r="B5" s="17" t="s">
        <v>91</v>
      </c>
      <c r="C5" s="5">
        <v>2004</v>
      </c>
      <c r="D5" s="4"/>
      <c r="E5" s="17" t="s">
        <v>91</v>
      </c>
      <c r="F5" s="5">
        <v>2004</v>
      </c>
      <c r="G5" s="4"/>
      <c r="H5" s="17" t="s">
        <v>91</v>
      </c>
      <c r="I5" s="5">
        <v>2004</v>
      </c>
      <c r="J5" s="4"/>
      <c r="K5" s="17" t="s">
        <v>91</v>
      </c>
      <c r="L5" s="5">
        <v>2004</v>
      </c>
    </row>
    <row r="6" spans="1:12" ht="15.75">
      <c r="A6" s="1"/>
      <c r="B6" s="1"/>
      <c r="C6" s="2"/>
      <c r="D6" s="1"/>
      <c r="E6" s="1"/>
      <c r="F6" s="1"/>
      <c r="G6" s="1"/>
      <c r="H6" s="6"/>
      <c r="I6" s="1"/>
      <c r="J6" s="1"/>
      <c r="K6" s="1"/>
      <c r="L6" s="1"/>
    </row>
    <row r="7" spans="1:13" ht="15.75">
      <c r="A7" s="21" t="s">
        <v>2</v>
      </c>
      <c r="B7" s="22">
        <f>+B9+B16</f>
        <v>279749</v>
      </c>
      <c r="C7" s="22">
        <f>+C9+C16</f>
        <v>232758</v>
      </c>
      <c r="D7" s="22" t="s">
        <v>3</v>
      </c>
      <c r="E7" s="22">
        <f>+E9+E16</f>
        <v>1388</v>
      </c>
      <c r="F7" s="22">
        <f>+F9+F16</f>
        <v>1369</v>
      </c>
      <c r="G7" s="22"/>
      <c r="H7" s="22">
        <v>175139</v>
      </c>
      <c r="I7" s="22">
        <f>+I9+I16</f>
        <v>154980</v>
      </c>
      <c r="J7" s="22"/>
      <c r="K7" s="22">
        <f>+K9+K16</f>
        <v>101008</v>
      </c>
      <c r="L7" s="22">
        <f>+L9+L16</f>
        <v>76409</v>
      </c>
      <c r="M7" s="8"/>
    </row>
    <row r="8" spans="1:13" ht="15.75">
      <c r="A8" s="21"/>
      <c r="B8" s="22"/>
      <c r="C8" s="22"/>
      <c r="D8" s="22"/>
      <c r="E8" s="22"/>
      <c r="F8" s="22"/>
      <c r="G8" s="22" t="s">
        <v>3</v>
      </c>
      <c r="H8" s="22"/>
      <c r="I8" s="22"/>
      <c r="J8" s="22" t="s">
        <v>3</v>
      </c>
      <c r="K8" s="22"/>
      <c r="L8" s="22"/>
      <c r="M8" s="8"/>
    </row>
    <row r="9" spans="1:13" ht="15.75">
      <c r="A9" s="21" t="s">
        <v>4</v>
      </c>
      <c r="B9" s="22">
        <v>99754</v>
      </c>
      <c r="C9" s="22">
        <f>SUM(C10:C14)</f>
        <v>75549</v>
      </c>
      <c r="D9" s="22" t="s">
        <v>3</v>
      </c>
      <c r="E9" s="22">
        <f>SUM(E10:E14)</f>
        <v>333</v>
      </c>
      <c r="F9" s="22">
        <f>SUM(F10:F14)</f>
        <v>288</v>
      </c>
      <c r="G9" s="22"/>
      <c r="H9" s="22">
        <v>73915</v>
      </c>
      <c r="I9" s="22">
        <f>SUM(I10:I14)</f>
        <v>58660</v>
      </c>
      <c r="J9" s="22"/>
      <c r="K9" s="22">
        <f>SUM(K10:K14)</f>
        <v>22718</v>
      </c>
      <c r="L9" s="22">
        <f>SUM(L10:L14)</f>
        <v>16601</v>
      </c>
      <c r="M9" s="8"/>
    </row>
    <row r="10" spans="1:13" ht="15.75">
      <c r="A10" s="21" t="s">
        <v>5</v>
      </c>
      <c r="B10" s="22">
        <v>15723</v>
      </c>
      <c r="C10" s="22">
        <f>F10+I10+L10</f>
        <v>11623</v>
      </c>
      <c r="D10" s="22"/>
      <c r="E10" s="22">
        <v>53</v>
      </c>
      <c r="F10" s="22">
        <v>53</v>
      </c>
      <c r="G10" s="22"/>
      <c r="H10" s="22">
        <v>11794</v>
      </c>
      <c r="I10" s="22">
        <v>9086</v>
      </c>
      <c r="J10" s="22"/>
      <c r="K10" s="22">
        <v>3546</v>
      </c>
      <c r="L10" s="22">
        <v>2484</v>
      </c>
      <c r="M10" s="8"/>
    </row>
    <row r="11" spans="1:13" ht="15.75">
      <c r="A11" s="21" t="s">
        <v>6</v>
      </c>
      <c r="B11" s="22">
        <v>29614</v>
      </c>
      <c r="C11" s="22">
        <f>F11+I11+L11</f>
        <v>22119</v>
      </c>
      <c r="D11" s="22"/>
      <c r="E11" s="22">
        <v>96</v>
      </c>
      <c r="F11" s="22">
        <v>86</v>
      </c>
      <c r="G11" s="22"/>
      <c r="H11" s="22">
        <v>23303</v>
      </c>
      <c r="I11" s="22">
        <v>18371</v>
      </c>
      <c r="J11" s="22"/>
      <c r="K11" s="22">
        <v>5272</v>
      </c>
      <c r="L11" s="22">
        <v>3662</v>
      </c>
      <c r="M11" s="8"/>
    </row>
    <row r="12" spans="1:13" ht="15.75">
      <c r="A12" s="21" t="s">
        <v>7</v>
      </c>
      <c r="B12" s="22">
        <v>18358</v>
      </c>
      <c r="C12" s="22">
        <f>F12+I12+L12</f>
        <v>14435</v>
      </c>
      <c r="D12" s="22"/>
      <c r="E12" s="22">
        <v>56</v>
      </c>
      <c r="F12" s="22">
        <v>47</v>
      </c>
      <c r="G12" s="22"/>
      <c r="H12" s="22">
        <v>13077</v>
      </c>
      <c r="I12" s="22">
        <v>10886</v>
      </c>
      <c r="J12" s="22"/>
      <c r="K12" s="22">
        <v>4808</v>
      </c>
      <c r="L12" s="22">
        <v>3502</v>
      </c>
      <c r="M12" s="8"/>
    </row>
    <row r="13" spans="1:13" ht="15.75">
      <c r="A13" s="21" t="s">
        <v>8</v>
      </c>
      <c r="B13" s="22">
        <v>30465</v>
      </c>
      <c r="C13" s="22">
        <f>F13+I13+L13</f>
        <v>22478</v>
      </c>
      <c r="D13" s="22"/>
      <c r="E13" s="22">
        <v>105</v>
      </c>
      <c r="F13" s="22">
        <v>79</v>
      </c>
      <c r="G13" s="22"/>
      <c r="H13" s="22">
        <v>21892</v>
      </c>
      <c r="I13" s="22">
        <v>16855</v>
      </c>
      <c r="J13" s="22"/>
      <c r="K13" s="22">
        <v>7394</v>
      </c>
      <c r="L13" s="22">
        <v>5544</v>
      </c>
      <c r="M13" s="8"/>
    </row>
    <row r="14" spans="1:13" ht="15.75">
      <c r="A14" s="21" t="s">
        <v>9</v>
      </c>
      <c r="B14" s="22">
        <v>5593</v>
      </c>
      <c r="C14" s="22">
        <f>F14+I14+L14</f>
        <v>4894</v>
      </c>
      <c r="D14" s="22"/>
      <c r="E14" s="22">
        <v>23</v>
      </c>
      <c r="F14" s="22">
        <v>23</v>
      </c>
      <c r="G14" s="22"/>
      <c r="H14" s="22">
        <v>3848</v>
      </c>
      <c r="I14" s="22">
        <v>3462</v>
      </c>
      <c r="J14" s="22"/>
      <c r="K14" s="22">
        <v>1698</v>
      </c>
      <c r="L14" s="22">
        <v>1409</v>
      </c>
      <c r="M14" s="8"/>
    </row>
    <row r="15" spans="1:13" ht="15.75">
      <c r="A15" s="21"/>
      <c r="B15" s="22"/>
      <c r="C15" s="22"/>
      <c r="D15" s="22"/>
      <c r="E15" s="22"/>
      <c r="F15" s="22"/>
      <c r="G15" s="22"/>
      <c r="H15" s="22"/>
      <c r="I15" s="22"/>
      <c r="J15" s="22"/>
      <c r="K15" s="22"/>
      <c r="L15" s="22"/>
      <c r="M15" s="8"/>
    </row>
    <row r="16" spans="1:13" ht="15.75">
      <c r="A16" s="21" t="s">
        <v>10</v>
      </c>
      <c r="B16" s="22">
        <f>SUM(B17:B75)</f>
        <v>179995</v>
      </c>
      <c r="C16" s="22">
        <f>SUM(C17:C75)</f>
        <v>157209</v>
      </c>
      <c r="D16" s="22"/>
      <c r="E16" s="22">
        <f>SUM(E17:E75)</f>
        <v>1055</v>
      </c>
      <c r="F16" s="22">
        <f>SUM(F17:F75)</f>
        <v>1081</v>
      </c>
      <c r="G16" s="22"/>
      <c r="H16" s="22">
        <v>101225</v>
      </c>
      <c r="I16" s="22">
        <f>SUM(I17:I75)</f>
        <v>96320</v>
      </c>
      <c r="J16" s="22"/>
      <c r="K16" s="22">
        <f>SUM(K17:K75)</f>
        <v>78290</v>
      </c>
      <c r="L16" s="22">
        <f>SUM(L17:L75)</f>
        <v>59808</v>
      </c>
      <c r="M16" s="8"/>
    </row>
    <row r="17" spans="1:13" ht="15.75">
      <c r="A17" s="21" t="s">
        <v>11</v>
      </c>
      <c r="B17" s="22">
        <v>5444</v>
      </c>
      <c r="C17" s="22">
        <f aca="true" t="shared" si="0" ref="C17:C22">F17+I17+L17</f>
        <v>4959</v>
      </c>
      <c r="D17" s="22"/>
      <c r="E17" s="22">
        <v>19</v>
      </c>
      <c r="F17" s="22">
        <v>17</v>
      </c>
      <c r="G17" s="22"/>
      <c r="H17" s="22">
        <v>2999</v>
      </c>
      <c r="I17" s="22">
        <v>2803</v>
      </c>
      <c r="J17" s="22"/>
      <c r="K17" s="22">
        <v>2636</v>
      </c>
      <c r="L17" s="22">
        <v>2139</v>
      </c>
      <c r="M17" s="8"/>
    </row>
    <row r="18" spans="1:13" ht="15.75">
      <c r="A18" s="21" t="s">
        <v>12</v>
      </c>
      <c r="B18" s="22">
        <v>636</v>
      </c>
      <c r="C18" s="22">
        <f t="shared" si="0"/>
        <v>582</v>
      </c>
      <c r="D18" s="22"/>
      <c r="E18" s="22">
        <v>9</v>
      </c>
      <c r="F18" s="22">
        <v>10</v>
      </c>
      <c r="G18" s="22"/>
      <c r="H18" s="22">
        <v>310</v>
      </c>
      <c r="I18" s="22">
        <v>292</v>
      </c>
      <c r="J18" s="22"/>
      <c r="K18" s="22">
        <v>328</v>
      </c>
      <c r="L18" s="22">
        <v>280</v>
      </c>
      <c r="M18" s="8"/>
    </row>
    <row r="19" spans="1:13" ht="15.75">
      <c r="A19" s="21" t="s">
        <v>13</v>
      </c>
      <c r="B19" s="22">
        <v>2832</v>
      </c>
      <c r="C19" s="22">
        <f t="shared" si="0"/>
        <v>2391</v>
      </c>
      <c r="D19" s="22"/>
      <c r="E19" s="22">
        <v>13</v>
      </c>
      <c r="F19" s="22">
        <v>14</v>
      </c>
      <c r="G19" s="22"/>
      <c r="H19" s="22">
        <v>1614</v>
      </c>
      <c r="I19" s="22">
        <v>1488</v>
      </c>
      <c r="J19" s="22"/>
      <c r="K19" s="22">
        <v>1240</v>
      </c>
      <c r="L19" s="22">
        <v>889</v>
      </c>
      <c r="M19" s="8"/>
    </row>
    <row r="20" spans="1:13" ht="15.75">
      <c r="A20" s="21" t="s">
        <v>14</v>
      </c>
      <c r="B20" s="22">
        <v>1095</v>
      </c>
      <c r="C20" s="22">
        <f t="shared" si="0"/>
        <v>941</v>
      </c>
      <c r="D20" s="22"/>
      <c r="E20" s="22">
        <v>9</v>
      </c>
      <c r="F20" s="22">
        <v>11</v>
      </c>
      <c r="G20" s="22"/>
      <c r="H20" s="22">
        <v>596</v>
      </c>
      <c r="I20" s="22">
        <v>562</v>
      </c>
      <c r="J20" s="22"/>
      <c r="K20" s="22">
        <v>473</v>
      </c>
      <c r="L20" s="22">
        <v>368</v>
      </c>
      <c r="M20" s="8"/>
    </row>
    <row r="21" spans="1:13" ht="15.75">
      <c r="A21" s="21" t="s">
        <v>15</v>
      </c>
      <c r="B21" s="22">
        <v>1024</v>
      </c>
      <c r="C21" s="22">
        <f t="shared" si="0"/>
        <v>1005</v>
      </c>
      <c r="D21" s="22"/>
      <c r="E21" s="22">
        <v>6</v>
      </c>
      <c r="F21" s="22">
        <v>15</v>
      </c>
      <c r="G21" s="22"/>
      <c r="H21" s="22">
        <v>590</v>
      </c>
      <c r="I21" s="22">
        <v>612</v>
      </c>
      <c r="J21" s="22"/>
      <c r="K21" s="22">
        <v>459</v>
      </c>
      <c r="L21" s="22">
        <v>378</v>
      </c>
      <c r="M21" s="8"/>
    </row>
    <row r="22" spans="1:13" ht="15.75">
      <c r="A22" s="21" t="s">
        <v>16</v>
      </c>
      <c r="B22" s="22">
        <v>1940</v>
      </c>
      <c r="C22" s="22">
        <f t="shared" si="0"/>
        <v>1676</v>
      </c>
      <c r="D22" s="22"/>
      <c r="E22" s="22">
        <v>13</v>
      </c>
      <c r="F22" s="22">
        <v>16</v>
      </c>
      <c r="G22" s="22"/>
      <c r="H22" s="22">
        <v>1064</v>
      </c>
      <c r="I22" s="22">
        <v>1024</v>
      </c>
      <c r="J22" s="22"/>
      <c r="K22" s="22">
        <v>879</v>
      </c>
      <c r="L22" s="22">
        <v>636</v>
      </c>
      <c r="M22" s="8"/>
    </row>
    <row r="23" spans="1:13" ht="15.75">
      <c r="A23" s="21" t="s">
        <v>17</v>
      </c>
      <c r="B23" s="22">
        <v>1048</v>
      </c>
      <c r="C23" s="22">
        <f aca="true" t="shared" si="1" ref="C23:C28">F23+I23+L23</f>
        <v>950</v>
      </c>
      <c r="D23" s="22"/>
      <c r="E23" s="22">
        <v>8</v>
      </c>
      <c r="F23" s="22">
        <v>6</v>
      </c>
      <c r="G23" s="22"/>
      <c r="H23" s="22">
        <v>608</v>
      </c>
      <c r="I23" s="22">
        <v>605</v>
      </c>
      <c r="J23" s="22"/>
      <c r="K23" s="22">
        <v>413</v>
      </c>
      <c r="L23" s="22">
        <v>339</v>
      </c>
      <c r="M23" s="8"/>
    </row>
    <row r="24" spans="1:13" ht="15.75">
      <c r="A24" s="21" t="s">
        <v>18</v>
      </c>
      <c r="B24" s="22">
        <v>795</v>
      </c>
      <c r="C24" s="22">
        <f t="shared" si="1"/>
        <v>684</v>
      </c>
      <c r="D24" s="22"/>
      <c r="E24" s="22">
        <v>9</v>
      </c>
      <c r="F24" s="22">
        <v>11</v>
      </c>
      <c r="G24" s="22"/>
      <c r="H24" s="22">
        <v>386</v>
      </c>
      <c r="I24" s="22">
        <v>356</v>
      </c>
      <c r="J24" s="22"/>
      <c r="K24" s="22">
        <v>410</v>
      </c>
      <c r="L24" s="22">
        <v>317</v>
      </c>
      <c r="M24" s="8"/>
    </row>
    <row r="25" spans="1:13" ht="15.75">
      <c r="A25" s="21" t="s">
        <v>19</v>
      </c>
      <c r="B25" s="22">
        <v>1185</v>
      </c>
      <c r="C25" s="22">
        <f t="shared" si="1"/>
        <v>991</v>
      </c>
      <c r="D25" s="22"/>
      <c r="E25" s="22">
        <v>9</v>
      </c>
      <c r="F25" s="22">
        <v>8</v>
      </c>
      <c r="G25" s="22"/>
      <c r="H25" s="22">
        <v>587</v>
      </c>
      <c r="I25" s="22">
        <v>526</v>
      </c>
      <c r="J25" s="22"/>
      <c r="K25" s="22">
        <v>573</v>
      </c>
      <c r="L25" s="22">
        <v>457</v>
      </c>
      <c r="M25" s="8"/>
    </row>
    <row r="26" spans="1:13" ht="15.75">
      <c r="A26" s="21" t="s">
        <v>20</v>
      </c>
      <c r="B26" s="22">
        <v>1009</v>
      </c>
      <c r="C26" s="22">
        <f t="shared" si="1"/>
        <v>891</v>
      </c>
      <c r="D26" s="22"/>
      <c r="E26" s="22">
        <v>8</v>
      </c>
      <c r="F26" s="22">
        <v>17</v>
      </c>
      <c r="G26" s="22"/>
      <c r="H26" s="22">
        <v>507</v>
      </c>
      <c r="I26" s="22">
        <v>464</v>
      </c>
      <c r="J26" s="22"/>
      <c r="K26" s="22">
        <v>510</v>
      </c>
      <c r="L26" s="22">
        <v>410</v>
      </c>
      <c r="M26" s="8"/>
    </row>
    <row r="27" spans="1:13" ht="15.75">
      <c r="A27" s="21" t="s">
        <v>21</v>
      </c>
      <c r="B27" s="22">
        <v>802</v>
      </c>
      <c r="C27" s="22">
        <f t="shared" si="1"/>
        <v>660</v>
      </c>
      <c r="D27" s="22"/>
      <c r="E27" s="22">
        <v>4</v>
      </c>
      <c r="F27" s="22">
        <v>4</v>
      </c>
      <c r="G27" s="22"/>
      <c r="H27" s="22">
        <v>413</v>
      </c>
      <c r="I27" s="22">
        <v>391</v>
      </c>
      <c r="J27" s="22"/>
      <c r="K27" s="22">
        <v>386</v>
      </c>
      <c r="L27" s="22">
        <v>265</v>
      </c>
      <c r="M27" s="8"/>
    </row>
    <row r="28" spans="1:13" ht="15.75">
      <c r="A28" s="21" t="s">
        <v>22</v>
      </c>
      <c r="B28" s="22">
        <v>785</v>
      </c>
      <c r="C28" s="22">
        <f t="shared" si="1"/>
        <v>693</v>
      </c>
      <c r="D28" s="22"/>
      <c r="E28" s="22">
        <v>7</v>
      </c>
      <c r="F28" s="22">
        <v>19</v>
      </c>
      <c r="G28" s="22"/>
      <c r="H28" s="22">
        <v>373</v>
      </c>
      <c r="I28" s="22">
        <v>384</v>
      </c>
      <c r="J28" s="22"/>
      <c r="K28" s="22">
        <v>393</v>
      </c>
      <c r="L28" s="22">
        <v>290</v>
      </c>
      <c r="M28" s="8"/>
    </row>
    <row r="29" spans="1:13" ht="15.75">
      <c r="A29" s="21" t="s">
        <v>23</v>
      </c>
      <c r="B29" s="22">
        <v>4751</v>
      </c>
      <c r="C29" s="22">
        <f aca="true" t="shared" si="2" ref="C29:C34">F29+I29+L29</f>
        <v>4446</v>
      </c>
      <c r="D29" s="22"/>
      <c r="E29" s="22">
        <v>29</v>
      </c>
      <c r="F29" s="22">
        <v>39</v>
      </c>
      <c r="G29" s="22"/>
      <c r="H29" s="22">
        <v>2677</v>
      </c>
      <c r="I29" s="22">
        <v>2686</v>
      </c>
      <c r="J29" s="22"/>
      <c r="K29" s="22">
        <v>2165</v>
      </c>
      <c r="L29" s="22">
        <v>1721</v>
      </c>
      <c r="M29" s="8"/>
    </row>
    <row r="30" spans="1:13" ht="15.75">
      <c r="A30" s="21" t="s">
        <v>24</v>
      </c>
      <c r="B30" s="22">
        <v>12623</v>
      </c>
      <c r="C30" s="22">
        <f t="shared" si="2"/>
        <v>12287</v>
      </c>
      <c r="D30" s="22"/>
      <c r="E30" s="22">
        <v>67</v>
      </c>
      <c r="F30" s="22">
        <v>65</v>
      </c>
      <c r="G30" s="22"/>
      <c r="H30" s="22">
        <v>7879</v>
      </c>
      <c r="I30" s="22">
        <v>7782</v>
      </c>
      <c r="J30" s="22"/>
      <c r="K30" s="22">
        <v>4804</v>
      </c>
      <c r="L30" s="22">
        <v>4440</v>
      </c>
      <c r="M30" s="8"/>
    </row>
    <row r="31" spans="1:13" ht="15.75">
      <c r="A31" s="21" t="s">
        <v>25</v>
      </c>
      <c r="B31" s="22">
        <v>673</v>
      </c>
      <c r="C31" s="22">
        <f t="shared" si="2"/>
        <v>635</v>
      </c>
      <c r="D31" s="22"/>
      <c r="E31" s="22">
        <v>8</v>
      </c>
      <c r="F31" s="22">
        <v>8</v>
      </c>
      <c r="G31" s="22"/>
      <c r="H31" s="22">
        <v>308</v>
      </c>
      <c r="I31" s="22">
        <v>341</v>
      </c>
      <c r="J31" s="22"/>
      <c r="K31" s="22">
        <v>353</v>
      </c>
      <c r="L31" s="22">
        <v>286</v>
      </c>
      <c r="M31" s="8"/>
    </row>
    <row r="32" spans="1:13" ht="15.75">
      <c r="A32" s="21" t="s">
        <v>26</v>
      </c>
      <c r="B32" s="22">
        <v>715</v>
      </c>
      <c r="C32" s="22">
        <f t="shared" si="2"/>
        <v>628</v>
      </c>
      <c r="D32" s="22"/>
      <c r="E32" s="22">
        <v>6</v>
      </c>
      <c r="F32" s="22">
        <v>8</v>
      </c>
      <c r="G32" s="22"/>
      <c r="H32" s="22">
        <v>340</v>
      </c>
      <c r="I32" s="22">
        <v>327</v>
      </c>
      <c r="J32" s="22"/>
      <c r="K32" s="22">
        <v>368</v>
      </c>
      <c r="L32" s="22">
        <v>293</v>
      </c>
      <c r="M32" s="8"/>
    </row>
    <row r="33" spans="1:13" ht="15.75">
      <c r="A33" s="21" t="s">
        <v>27</v>
      </c>
      <c r="B33" s="22">
        <v>807</v>
      </c>
      <c r="C33" s="22">
        <f t="shared" si="2"/>
        <v>656</v>
      </c>
      <c r="D33" s="22"/>
      <c r="E33" s="22">
        <v>7</v>
      </c>
      <c r="F33" s="22">
        <v>5</v>
      </c>
      <c r="G33" s="22"/>
      <c r="H33" s="22">
        <v>454</v>
      </c>
      <c r="I33" s="22">
        <v>471</v>
      </c>
      <c r="J33" s="22"/>
      <c r="K33" s="22">
        <v>344</v>
      </c>
      <c r="L33" s="22">
        <v>180</v>
      </c>
      <c r="M33" s="8"/>
    </row>
    <row r="34" spans="1:13" ht="15.75">
      <c r="A34" s="21" t="s">
        <v>28</v>
      </c>
      <c r="B34" s="22">
        <v>1088</v>
      </c>
      <c r="C34" s="22">
        <f t="shared" si="2"/>
        <v>875</v>
      </c>
      <c r="D34" s="22"/>
      <c r="E34" s="22">
        <v>14</v>
      </c>
      <c r="F34" s="22">
        <v>5</v>
      </c>
      <c r="G34" s="22"/>
      <c r="H34" s="22">
        <v>600</v>
      </c>
      <c r="I34" s="22">
        <v>553</v>
      </c>
      <c r="J34" s="22"/>
      <c r="K34" s="22">
        <v>470</v>
      </c>
      <c r="L34" s="22">
        <v>317</v>
      </c>
      <c r="M34" s="8"/>
    </row>
    <row r="35" spans="1:13" ht="15.75">
      <c r="A35" s="21" t="s">
        <v>29</v>
      </c>
      <c r="B35" s="22">
        <v>751</v>
      </c>
      <c r="C35" s="22">
        <f>F35+I35+L35</f>
        <v>666</v>
      </c>
      <c r="D35" s="22"/>
      <c r="E35" s="22">
        <v>9</v>
      </c>
      <c r="F35" s="22">
        <v>5</v>
      </c>
      <c r="G35" s="22"/>
      <c r="H35" s="22">
        <v>419</v>
      </c>
      <c r="I35" s="22">
        <v>412</v>
      </c>
      <c r="J35" s="22"/>
      <c r="K35" s="22">
        <v>354</v>
      </c>
      <c r="L35" s="22">
        <v>249</v>
      </c>
      <c r="M35" s="8"/>
    </row>
    <row r="36" spans="1:13" ht="15.75">
      <c r="A36" s="21" t="s">
        <v>30</v>
      </c>
      <c r="B36" s="22">
        <v>154</v>
      </c>
      <c r="C36" s="22">
        <f>+I36+L36</f>
        <v>143</v>
      </c>
      <c r="D36" s="22"/>
      <c r="E36" s="22">
        <v>2</v>
      </c>
      <c r="F36" s="23">
        <v>0</v>
      </c>
      <c r="G36" s="22"/>
      <c r="H36" s="22">
        <v>52</v>
      </c>
      <c r="I36" s="22">
        <v>67</v>
      </c>
      <c r="J36" s="22"/>
      <c r="K36" s="22">
        <v>91</v>
      </c>
      <c r="L36" s="22">
        <v>76</v>
      </c>
      <c r="M36" s="8"/>
    </row>
    <row r="37" spans="1:13" ht="15.75">
      <c r="A37" s="21" t="s">
        <v>31</v>
      </c>
      <c r="B37" s="22">
        <v>827</v>
      </c>
      <c r="C37" s="22">
        <f>F37+I37+L37</f>
        <v>743</v>
      </c>
      <c r="D37" s="22"/>
      <c r="E37" s="22">
        <v>7</v>
      </c>
      <c r="F37" s="22">
        <v>11</v>
      </c>
      <c r="G37" s="22"/>
      <c r="H37" s="22">
        <v>430</v>
      </c>
      <c r="I37" s="22">
        <v>428</v>
      </c>
      <c r="J37" s="22"/>
      <c r="K37" s="22">
        <v>392</v>
      </c>
      <c r="L37" s="22">
        <v>304</v>
      </c>
      <c r="M37" s="8"/>
    </row>
    <row r="38" spans="1:13" ht="15.75">
      <c r="A38" s="21" t="s">
        <v>32</v>
      </c>
      <c r="B38" s="22">
        <v>1337</v>
      </c>
      <c r="C38" s="22">
        <f>F38+I38+L38</f>
        <v>1267</v>
      </c>
      <c r="D38" s="22"/>
      <c r="E38" s="22">
        <v>13</v>
      </c>
      <c r="F38" s="22">
        <v>11</v>
      </c>
      <c r="G38" s="22"/>
      <c r="H38" s="22">
        <v>729</v>
      </c>
      <c r="I38" s="22">
        <v>805</v>
      </c>
      <c r="J38" s="22"/>
      <c r="K38" s="22">
        <v>597</v>
      </c>
      <c r="L38" s="22">
        <v>451</v>
      </c>
      <c r="M38" s="8"/>
    </row>
    <row r="39" spans="1:13" ht="15.75">
      <c r="A39" s="21" t="s">
        <v>33</v>
      </c>
      <c r="B39" s="22">
        <v>388</v>
      </c>
      <c r="C39" s="22">
        <f>F39+I39+L39</f>
        <v>367</v>
      </c>
      <c r="D39" s="22"/>
      <c r="E39" s="22">
        <v>5</v>
      </c>
      <c r="F39" s="22">
        <v>3</v>
      </c>
      <c r="G39" s="22"/>
      <c r="H39" s="22">
        <v>180</v>
      </c>
      <c r="I39" s="22">
        <v>183</v>
      </c>
      <c r="J39" s="22"/>
      <c r="K39" s="22">
        <v>201</v>
      </c>
      <c r="L39" s="22">
        <v>181</v>
      </c>
      <c r="M39" s="8"/>
    </row>
    <row r="40" spans="1:13" ht="15.75">
      <c r="A40" s="21" t="s">
        <v>34</v>
      </c>
      <c r="B40" s="22">
        <v>957</v>
      </c>
      <c r="C40" s="22">
        <f>F40+I40+L40</f>
        <v>732</v>
      </c>
      <c r="D40" s="22"/>
      <c r="E40" s="22">
        <v>11</v>
      </c>
      <c r="F40" s="22">
        <v>7</v>
      </c>
      <c r="G40" s="22"/>
      <c r="H40" s="22">
        <v>447</v>
      </c>
      <c r="I40" s="22">
        <v>410</v>
      </c>
      <c r="J40" s="22"/>
      <c r="K40" s="22">
        <v>496</v>
      </c>
      <c r="L40" s="22">
        <v>315</v>
      </c>
      <c r="M40" s="8"/>
    </row>
    <row r="41" spans="1:13" ht="15.75">
      <c r="A41" s="21" t="s">
        <v>35</v>
      </c>
      <c r="B41" s="22">
        <v>1011</v>
      </c>
      <c r="C41" s="22">
        <f aca="true" t="shared" si="3" ref="C41:C46">F41+I41+L41</f>
        <v>842</v>
      </c>
      <c r="D41" s="22"/>
      <c r="E41" s="22">
        <v>10</v>
      </c>
      <c r="F41" s="22">
        <v>15</v>
      </c>
      <c r="G41" s="22"/>
      <c r="H41" s="22">
        <v>509</v>
      </c>
      <c r="I41" s="22">
        <v>489</v>
      </c>
      <c r="J41" s="22"/>
      <c r="K41" s="22">
        <v>494</v>
      </c>
      <c r="L41" s="22">
        <v>338</v>
      </c>
      <c r="M41" s="8"/>
    </row>
    <row r="42" spans="1:13" ht="15.75">
      <c r="A42" s="21" t="s">
        <v>36</v>
      </c>
      <c r="B42" s="22">
        <v>11516</v>
      </c>
      <c r="C42" s="22">
        <f t="shared" si="3"/>
        <v>10561</v>
      </c>
      <c r="D42" s="22"/>
      <c r="E42" s="22">
        <v>47</v>
      </c>
      <c r="F42" s="22">
        <v>60</v>
      </c>
      <c r="G42" s="22"/>
      <c r="H42" s="22">
        <v>6139</v>
      </c>
      <c r="I42" s="22">
        <v>5846</v>
      </c>
      <c r="J42" s="22"/>
      <c r="K42" s="22">
        <v>5420</v>
      </c>
      <c r="L42" s="22">
        <v>4655</v>
      </c>
      <c r="M42" s="8"/>
    </row>
    <row r="43" spans="1:13" ht="15.75">
      <c r="A43" s="21" t="s">
        <v>37</v>
      </c>
      <c r="B43" s="22">
        <v>752</v>
      </c>
      <c r="C43" s="22">
        <f t="shared" si="3"/>
        <v>578</v>
      </c>
      <c r="D43" s="22"/>
      <c r="E43" s="22">
        <v>7</v>
      </c>
      <c r="F43" s="22">
        <v>5</v>
      </c>
      <c r="G43" s="22"/>
      <c r="H43" s="22">
        <v>379</v>
      </c>
      <c r="I43" s="22">
        <v>366</v>
      </c>
      <c r="J43" s="22"/>
      <c r="K43" s="22">
        <v>356</v>
      </c>
      <c r="L43" s="22">
        <v>207</v>
      </c>
      <c r="M43" s="8"/>
    </row>
    <row r="44" spans="1:13" ht="15.75">
      <c r="A44" s="21" t="s">
        <v>38</v>
      </c>
      <c r="B44" s="22">
        <v>27636</v>
      </c>
      <c r="C44" s="22">
        <f t="shared" si="3"/>
        <v>23675</v>
      </c>
      <c r="D44" s="22"/>
      <c r="E44" s="22">
        <v>102</v>
      </c>
      <c r="F44" s="22">
        <v>110</v>
      </c>
      <c r="G44" s="22"/>
      <c r="H44" s="22">
        <v>16553</v>
      </c>
      <c r="I44" s="22">
        <v>15492</v>
      </c>
      <c r="J44" s="22"/>
      <c r="K44" s="22">
        <v>10699</v>
      </c>
      <c r="L44" s="22">
        <v>8073</v>
      </c>
      <c r="M44" s="8"/>
    </row>
    <row r="45" spans="1:13" ht="15.75">
      <c r="A45" s="21" t="s">
        <v>39</v>
      </c>
      <c r="B45" s="22">
        <v>2775</v>
      </c>
      <c r="C45" s="22">
        <f t="shared" si="3"/>
        <v>2469</v>
      </c>
      <c r="D45" s="22"/>
      <c r="E45" s="22">
        <v>23</v>
      </c>
      <c r="F45" s="22">
        <v>17</v>
      </c>
      <c r="G45" s="22"/>
      <c r="H45" s="22">
        <v>1752</v>
      </c>
      <c r="I45" s="22">
        <v>1606</v>
      </c>
      <c r="J45" s="22"/>
      <c r="K45" s="22">
        <v>1047</v>
      </c>
      <c r="L45" s="22">
        <v>846</v>
      </c>
      <c r="M45" s="8"/>
    </row>
    <row r="46" spans="1:13" ht="15.75">
      <c r="A46" s="21" t="s">
        <v>40</v>
      </c>
      <c r="B46" s="22">
        <v>3701</v>
      </c>
      <c r="C46" s="22">
        <f t="shared" si="3"/>
        <v>3107</v>
      </c>
      <c r="D46" s="22"/>
      <c r="E46" s="22">
        <v>22</v>
      </c>
      <c r="F46" s="22">
        <v>23</v>
      </c>
      <c r="G46" s="22"/>
      <c r="H46" s="22">
        <v>2064</v>
      </c>
      <c r="I46" s="22">
        <v>1927</v>
      </c>
      <c r="J46" s="22"/>
      <c r="K46" s="22">
        <v>1660</v>
      </c>
      <c r="L46" s="22">
        <v>1157</v>
      </c>
      <c r="M46" s="8"/>
    </row>
    <row r="47" spans="1:13" ht="15.75">
      <c r="A47" s="21" t="s">
        <v>41</v>
      </c>
      <c r="B47" s="22">
        <v>7624</v>
      </c>
      <c r="C47" s="22">
        <f aca="true" t="shared" si="4" ref="C47:C52">F47+I47+L47</f>
        <v>6321</v>
      </c>
      <c r="D47" s="22"/>
      <c r="E47" s="22">
        <v>33</v>
      </c>
      <c r="F47" s="22">
        <v>34</v>
      </c>
      <c r="G47" s="22"/>
      <c r="H47" s="22">
        <v>4134</v>
      </c>
      <c r="I47" s="22">
        <v>3823</v>
      </c>
      <c r="J47" s="22"/>
      <c r="K47" s="22">
        <v>3599</v>
      </c>
      <c r="L47" s="22">
        <v>2464</v>
      </c>
      <c r="M47" s="8"/>
    </row>
    <row r="48" spans="1:13" ht="15.75">
      <c r="A48" s="21" t="s">
        <v>42</v>
      </c>
      <c r="B48" s="22">
        <v>1699</v>
      </c>
      <c r="C48" s="22">
        <f t="shared" si="4"/>
        <v>1428</v>
      </c>
      <c r="D48" s="22"/>
      <c r="E48" s="22">
        <v>16</v>
      </c>
      <c r="F48" s="22">
        <v>18</v>
      </c>
      <c r="G48" s="22"/>
      <c r="H48" s="22">
        <v>805</v>
      </c>
      <c r="I48" s="22">
        <v>737</v>
      </c>
      <c r="J48" s="22"/>
      <c r="K48" s="22">
        <v>918</v>
      </c>
      <c r="L48" s="22">
        <v>673</v>
      </c>
      <c r="M48" s="8"/>
    </row>
    <row r="49" spans="1:13" ht="15.75">
      <c r="A49" s="21" t="s">
        <v>43</v>
      </c>
      <c r="B49" s="22">
        <v>6641</v>
      </c>
      <c r="C49" s="22">
        <f t="shared" si="4"/>
        <v>5652</v>
      </c>
      <c r="D49" s="22"/>
      <c r="E49" s="22">
        <v>42</v>
      </c>
      <c r="F49" s="22">
        <v>39</v>
      </c>
      <c r="G49" s="22"/>
      <c r="H49" s="22">
        <v>3685</v>
      </c>
      <c r="I49" s="22">
        <v>3681</v>
      </c>
      <c r="J49" s="22"/>
      <c r="K49" s="22">
        <v>2919</v>
      </c>
      <c r="L49" s="22">
        <v>1932</v>
      </c>
      <c r="M49" s="8"/>
    </row>
    <row r="50" spans="1:13" ht="15.75">
      <c r="A50" s="21" t="s">
        <v>44</v>
      </c>
      <c r="B50" s="22">
        <v>509</v>
      </c>
      <c r="C50" s="22">
        <f t="shared" si="4"/>
        <v>411</v>
      </c>
      <c r="D50" s="22"/>
      <c r="E50" s="22">
        <v>9</v>
      </c>
      <c r="F50" s="22">
        <v>5</v>
      </c>
      <c r="G50" s="22"/>
      <c r="H50" s="22">
        <v>257</v>
      </c>
      <c r="I50" s="22">
        <v>233</v>
      </c>
      <c r="J50" s="22"/>
      <c r="K50" s="22">
        <v>236</v>
      </c>
      <c r="L50" s="22">
        <v>173</v>
      </c>
      <c r="M50" s="8"/>
    </row>
    <row r="51" spans="1:13" ht="15.75">
      <c r="A51" s="21" t="s">
        <v>45</v>
      </c>
      <c r="B51" s="22">
        <v>1914</v>
      </c>
      <c r="C51" s="22">
        <f t="shared" si="4"/>
        <v>1394</v>
      </c>
      <c r="D51" s="22"/>
      <c r="E51" s="22">
        <v>20</v>
      </c>
      <c r="F51" s="22">
        <v>17</v>
      </c>
      <c r="G51" s="22"/>
      <c r="H51" s="22">
        <v>1028</v>
      </c>
      <c r="I51" s="22">
        <v>856</v>
      </c>
      <c r="J51" s="22"/>
      <c r="K51" s="22">
        <v>865</v>
      </c>
      <c r="L51" s="22">
        <v>521</v>
      </c>
      <c r="M51" s="8"/>
    </row>
    <row r="52" spans="1:13" ht="15.75">
      <c r="A52" s="21" t="s">
        <v>46</v>
      </c>
      <c r="B52" s="22">
        <v>1033</v>
      </c>
      <c r="C52" s="22">
        <f t="shared" si="4"/>
        <v>900</v>
      </c>
      <c r="D52" s="22"/>
      <c r="E52" s="22">
        <v>8</v>
      </c>
      <c r="F52" s="22">
        <v>7</v>
      </c>
      <c r="G52" s="22"/>
      <c r="H52" s="22">
        <v>491</v>
      </c>
      <c r="I52" s="22">
        <v>483</v>
      </c>
      <c r="J52" s="22"/>
      <c r="K52" s="22">
        <v>533</v>
      </c>
      <c r="L52" s="22">
        <v>410</v>
      </c>
      <c r="M52" s="8"/>
    </row>
    <row r="53" spans="1:13" ht="15.75">
      <c r="A53" s="21" t="s">
        <v>47</v>
      </c>
      <c r="B53" s="22">
        <v>1802</v>
      </c>
      <c r="C53" s="22">
        <f aca="true" t="shared" si="5" ref="C53:C58">F53+I53+L53</f>
        <v>1643</v>
      </c>
      <c r="D53" s="22"/>
      <c r="E53" s="22">
        <v>11</v>
      </c>
      <c r="F53" s="22">
        <v>8</v>
      </c>
      <c r="G53" s="22"/>
      <c r="H53" s="22">
        <v>902</v>
      </c>
      <c r="I53" s="22">
        <v>905</v>
      </c>
      <c r="J53" s="22"/>
      <c r="K53" s="22">
        <v>901</v>
      </c>
      <c r="L53" s="22">
        <v>730</v>
      </c>
      <c r="M53" s="8"/>
    </row>
    <row r="54" spans="1:13" ht="15.75">
      <c r="A54" s="21" t="s">
        <v>48</v>
      </c>
      <c r="B54" s="22">
        <v>2035</v>
      </c>
      <c r="C54" s="22">
        <f t="shared" si="5"/>
        <v>1887</v>
      </c>
      <c r="D54" s="22"/>
      <c r="E54" s="22">
        <v>14</v>
      </c>
      <c r="F54" s="22">
        <v>14</v>
      </c>
      <c r="G54" s="22"/>
      <c r="H54" s="22">
        <v>1102</v>
      </c>
      <c r="I54" s="22">
        <v>1063</v>
      </c>
      <c r="J54" s="22"/>
      <c r="K54" s="22">
        <v>904</v>
      </c>
      <c r="L54" s="22">
        <v>810</v>
      </c>
      <c r="M54" s="8"/>
    </row>
    <row r="55" spans="1:13" ht="15.75">
      <c r="A55" s="21" t="s">
        <v>49</v>
      </c>
      <c r="B55" s="22">
        <v>5158</v>
      </c>
      <c r="C55" s="22">
        <f t="shared" si="5"/>
        <v>4517</v>
      </c>
      <c r="D55" s="22"/>
      <c r="E55" s="22">
        <v>21</v>
      </c>
      <c r="F55" s="22">
        <v>29</v>
      </c>
      <c r="G55" s="22"/>
      <c r="H55" s="22">
        <v>2963</v>
      </c>
      <c r="I55" s="22">
        <v>2853</v>
      </c>
      <c r="J55" s="22"/>
      <c r="K55" s="22">
        <v>2168</v>
      </c>
      <c r="L55" s="22">
        <v>1635</v>
      </c>
      <c r="M55" s="8"/>
    </row>
    <row r="56" spans="1:13" ht="15.75">
      <c r="A56" s="21" t="s">
        <v>50</v>
      </c>
      <c r="B56" s="22">
        <v>1451</v>
      </c>
      <c r="C56" s="22">
        <f t="shared" si="5"/>
        <v>1242</v>
      </c>
      <c r="D56" s="22"/>
      <c r="E56" s="22">
        <v>15</v>
      </c>
      <c r="F56" s="22">
        <v>10</v>
      </c>
      <c r="G56" s="22"/>
      <c r="H56" s="22">
        <v>707</v>
      </c>
      <c r="I56" s="22">
        <v>650</v>
      </c>
      <c r="J56" s="22"/>
      <c r="K56" s="22">
        <v>764</v>
      </c>
      <c r="L56" s="22">
        <v>582</v>
      </c>
      <c r="M56" s="8"/>
    </row>
    <row r="57" spans="1:13" ht="15.75">
      <c r="A57" s="21" t="s">
        <v>51</v>
      </c>
      <c r="B57" s="22">
        <v>2412</v>
      </c>
      <c r="C57" s="22">
        <f t="shared" si="5"/>
        <v>2327</v>
      </c>
      <c r="D57" s="22"/>
      <c r="E57" s="22">
        <v>16</v>
      </c>
      <c r="F57" s="22">
        <v>18</v>
      </c>
      <c r="G57" s="22"/>
      <c r="H57" s="22">
        <v>1366</v>
      </c>
      <c r="I57" s="22">
        <v>1347</v>
      </c>
      <c r="J57" s="22"/>
      <c r="K57" s="22">
        <v>1089</v>
      </c>
      <c r="L57" s="22">
        <v>962</v>
      </c>
      <c r="M57" s="8"/>
    </row>
    <row r="58" spans="1:13" ht="15.75">
      <c r="A58" s="21" t="s">
        <v>52</v>
      </c>
      <c r="B58" s="22">
        <v>2199</v>
      </c>
      <c r="C58" s="22">
        <f t="shared" si="5"/>
        <v>1772</v>
      </c>
      <c r="D58" s="22"/>
      <c r="E58" s="22">
        <v>8</v>
      </c>
      <c r="F58" s="22">
        <v>12</v>
      </c>
      <c r="G58" s="22"/>
      <c r="H58" s="22">
        <v>1248</v>
      </c>
      <c r="I58" s="22">
        <v>1112</v>
      </c>
      <c r="J58" s="22"/>
      <c r="K58" s="22">
        <v>946</v>
      </c>
      <c r="L58" s="22">
        <v>648</v>
      </c>
      <c r="M58" s="8"/>
    </row>
    <row r="59" spans="1:13" ht="15.75">
      <c r="A59" s="21" t="s">
        <v>53</v>
      </c>
      <c r="B59" s="22">
        <v>477</v>
      </c>
      <c r="C59" s="22">
        <f>F59+I59+L59</f>
        <v>401</v>
      </c>
      <c r="D59" s="22"/>
      <c r="E59" s="22">
        <v>4</v>
      </c>
      <c r="F59" s="22">
        <v>4</v>
      </c>
      <c r="G59" s="22"/>
      <c r="H59" s="22">
        <v>258</v>
      </c>
      <c r="I59" s="22">
        <v>236</v>
      </c>
      <c r="J59" s="22"/>
      <c r="K59" s="22">
        <v>229</v>
      </c>
      <c r="L59" s="22">
        <v>161</v>
      </c>
      <c r="M59" s="8"/>
    </row>
    <row r="60" spans="1:13" ht="15.75">
      <c r="A60" s="21" t="s">
        <v>54</v>
      </c>
      <c r="B60" s="22">
        <v>272</v>
      </c>
      <c r="C60" s="22">
        <f>+I60+L60</f>
        <v>242</v>
      </c>
      <c r="D60" s="22"/>
      <c r="E60" s="22">
        <v>1</v>
      </c>
      <c r="F60" s="23">
        <v>0</v>
      </c>
      <c r="G60" s="22"/>
      <c r="H60" s="22">
        <v>132</v>
      </c>
      <c r="I60" s="22">
        <v>136</v>
      </c>
      <c r="J60" s="22"/>
      <c r="K60" s="22">
        <v>138</v>
      </c>
      <c r="L60" s="22">
        <v>106</v>
      </c>
      <c r="M60" s="8"/>
    </row>
    <row r="61" spans="1:13" ht="15.75">
      <c r="A61" s="21" t="s">
        <v>55</v>
      </c>
      <c r="B61" s="22">
        <v>517</v>
      </c>
      <c r="C61" s="22">
        <f>F61+I61+L61</f>
        <v>382</v>
      </c>
      <c r="D61" s="22"/>
      <c r="E61" s="22">
        <v>7</v>
      </c>
      <c r="F61" s="22">
        <v>4</v>
      </c>
      <c r="G61" s="22"/>
      <c r="H61" s="22">
        <v>262</v>
      </c>
      <c r="I61" s="22">
        <v>226</v>
      </c>
      <c r="J61" s="22"/>
      <c r="K61" s="22">
        <v>244</v>
      </c>
      <c r="L61" s="22">
        <v>152</v>
      </c>
      <c r="M61" s="8"/>
    </row>
    <row r="62" spans="1:13" ht="15.75">
      <c r="A62" s="21" t="s">
        <v>56</v>
      </c>
      <c r="B62" s="22">
        <v>1330</v>
      </c>
      <c r="C62" s="22">
        <f>F62+I62+L62</f>
        <v>1165</v>
      </c>
      <c r="D62" s="22"/>
      <c r="E62" s="22">
        <v>15</v>
      </c>
      <c r="F62" s="22">
        <v>8</v>
      </c>
      <c r="G62" s="22"/>
      <c r="H62" s="22">
        <v>708</v>
      </c>
      <c r="I62" s="22">
        <v>669</v>
      </c>
      <c r="J62" s="22"/>
      <c r="K62" s="22">
        <v>626</v>
      </c>
      <c r="L62" s="22">
        <v>488</v>
      </c>
      <c r="M62" s="8"/>
    </row>
    <row r="63" spans="1:13" ht="15.75">
      <c r="A63" s="21" t="s">
        <v>57</v>
      </c>
      <c r="B63" s="22">
        <v>25334</v>
      </c>
      <c r="C63" s="22">
        <f>F63+I63+L63</f>
        <v>22044</v>
      </c>
      <c r="D63" s="22"/>
      <c r="E63" s="22">
        <v>157</v>
      </c>
      <c r="F63" s="22">
        <v>158</v>
      </c>
      <c r="G63" s="22"/>
      <c r="H63" s="22">
        <v>15177</v>
      </c>
      <c r="I63" s="22">
        <v>14701</v>
      </c>
      <c r="J63" s="22"/>
      <c r="K63" s="22">
        <v>9871</v>
      </c>
      <c r="L63" s="22">
        <v>7185</v>
      </c>
      <c r="M63" s="8"/>
    </row>
    <row r="64" spans="1:13" ht="15.75">
      <c r="A64" s="21" t="s">
        <v>58</v>
      </c>
      <c r="B64" s="22">
        <v>1310</v>
      </c>
      <c r="C64" s="22">
        <f>F64+I64+L64</f>
        <v>1173</v>
      </c>
      <c r="D64" s="22"/>
      <c r="E64" s="22">
        <v>14</v>
      </c>
      <c r="F64" s="22">
        <v>14</v>
      </c>
      <c r="G64" s="22"/>
      <c r="H64" s="22">
        <v>750</v>
      </c>
      <c r="I64" s="22">
        <v>771</v>
      </c>
      <c r="J64" s="22"/>
      <c r="K64" s="22">
        <v>563</v>
      </c>
      <c r="L64" s="22">
        <v>388</v>
      </c>
      <c r="M64" s="8"/>
    </row>
    <row r="65" spans="1:13" ht="15.75">
      <c r="A65" s="21" t="s">
        <v>59</v>
      </c>
      <c r="B65" s="22">
        <v>619</v>
      </c>
      <c r="C65" s="22">
        <f aca="true" t="shared" si="6" ref="C65:C70">F65+I65+L65</f>
        <v>575</v>
      </c>
      <c r="D65" s="22"/>
      <c r="E65" s="22">
        <v>8</v>
      </c>
      <c r="F65" s="22">
        <v>4</v>
      </c>
      <c r="G65" s="22"/>
      <c r="H65" s="22">
        <v>295</v>
      </c>
      <c r="I65" s="22">
        <v>315</v>
      </c>
      <c r="J65" s="22"/>
      <c r="K65" s="22">
        <v>330</v>
      </c>
      <c r="L65" s="22">
        <v>256</v>
      </c>
      <c r="M65" s="8"/>
    </row>
    <row r="66" spans="1:13" ht="15.75">
      <c r="A66" s="21" t="s">
        <v>60</v>
      </c>
      <c r="B66" s="22">
        <v>1387</v>
      </c>
      <c r="C66" s="22">
        <f t="shared" si="6"/>
        <v>1170</v>
      </c>
      <c r="D66" s="22"/>
      <c r="E66" s="22">
        <v>8</v>
      </c>
      <c r="F66" s="22">
        <v>13</v>
      </c>
      <c r="G66" s="22"/>
      <c r="H66" s="22">
        <v>664</v>
      </c>
      <c r="I66" s="22">
        <v>639</v>
      </c>
      <c r="J66" s="22"/>
      <c r="K66" s="22">
        <v>745</v>
      </c>
      <c r="L66" s="22">
        <v>518</v>
      </c>
      <c r="M66" s="8"/>
    </row>
    <row r="67" spans="1:13" ht="15.75">
      <c r="A67" s="21" t="s">
        <v>61</v>
      </c>
      <c r="B67" s="22">
        <v>3014</v>
      </c>
      <c r="C67" s="22">
        <f t="shared" si="6"/>
        <v>2730</v>
      </c>
      <c r="D67" s="22"/>
      <c r="E67" s="22">
        <v>23</v>
      </c>
      <c r="F67" s="22">
        <v>25</v>
      </c>
      <c r="G67" s="22"/>
      <c r="H67" s="22">
        <v>1712</v>
      </c>
      <c r="I67" s="22">
        <v>1715</v>
      </c>
      <c r="J67" s="22"/>
      <c r="K67" s="22">
        <v>1330</v>
      </c>
      <c r="L67" s="22">
        <v>990</v>
      </c>
      <c r="M67" s="8"/>
    </row>
    <row r="68" spans="1:13" ht="15.75">
      <c r="A68" s="21" t="s">
        <v>62</v>
      </c>
      <c r="B68" s="22">
        <v>1245</v>
      </c>
      <c r="C68" s="22">
        <f t="shared" si="6"/>
        <v>1019</v>
      </c>
      <c r="D68" s="22"/>
      <c r="E68" s="22">
        <v>7</v>
      </c>
      <c r="F68" s="22">
        <v>3</v>
      </c>
      <c r="G68" s="22"/>
      <c r="H68" s="22">
        <v>649</v>
      </c>
      <c r="I68" s="22">
        <v>654</v>
      </c>
      <c r="J68" s="22"/>
      <c r="K68" s="22">
        <v>595</v>
      </c>
      <c r="L68" s="22">
        <v>362</v>
      </c>
      <c r="M68" s="8"/>
    </row>
    <row r="69" spans="1:13" ht="15.75">
      <c r="A69" s="21" t="s">
        <v>63</v>
      </c>
      <c r="B69" s="22">
        <v>831</v>
      </c>
      <c r="C69" s="22">
        <f t="shared" si="6"/>
        <v>697</v>
      </c>
      <c r="D69" s="22"/>
      <c r="E69" s="22">
        <v>9</v>
      </c>
      <c r="F69" s="22">
        <v>6</v>
      </c>
      <c r="G69" s="22"/>
      <c r="H69" s="22">
        <v>435</v>
      </c>
      <c r="I69" s="22">
        <v>422</v>
      </c>
      <c r="J69" s="22"/>
      <c r="K69" s="22">
        <v>386</v>
      </c>
      <c r="L69" s="22">
        <v>269</v>
      </c>
      <c r="M69" s="8"/>
    </row>
    <row r="70" spans="1:13" ht="15.75">
      <c r="A70" s="21" t="s">
        <v>64</v>
      </c>
      <c r="B70" s="22">
        <v>1116</v>
      </c>
      <c r="C70" s="22">
        <f t="shared" si="6"/>
        <v>975</v>
      </c>
      <c r="D70" s="22"/>
      <c r="E70" s="22">
        <v>16</v>
      </c>
      <c r="F70" s="22">
        <v>15</v>
      </c>
      <c r="G70" s="22"/>
      <c r="H70" s="22">
        <v>579</v>
      </c>
      <c r="I70" s="21">
        <v>565</v>
      </c>
      <c r="J70" s="22"/>
      <c r="K70" s="22">
        <v>537</v>
      </c>
      <c r="L70" s="22">
        <v>395</v>
      </c>
      <c r="M70" s="8"/>
    </row>
    <row r="71" spans="1:13" ht="15.75">
      <c r="A71" s="21" t="s">
        <v>65</v>
      </c>
      <c r="B71" s="22">
        <v>15160</v>
      </c>
      <c r="C71" s="22">
        <f>F71+I71+L71</f>
        <v>12499</v>
      </c>
      <c r="D71" s="22"/>
      <c r="E71" s="22">
        <v>59</v>
      </c>
      <c r="F71" s="22">
        <v>59</v>
      </c>
      <c r="G71" s="22"/>
      <c r="H71" s="22">
        <v>8298</v>
      </c>
      <c r="I71" s="22">
        <v>7240</v>
      </c>
      <c r="J71" s="22"/>
      <c r="K71" s="22">
        <v>6653</v>
      </c>
      <c r="L71" s="22">
        <v>5200</v>
      </c>
      <c r="M71" s="8"/>
    </row>
    <row r="72" spans="1:13" ht="15.75">
      <c r="A72" s="21" t="s">
        <v>66</v>
      </c>
      <c r="B72" s="22">
        <v>636</v>
      </c>
      <c r="C72" s="22">
        <f>F72+I72+L72</f>
        <v>527</v>
      </c>
      <c r="D72" s="22"/>
      <c r="E72" s="22">
        <v>8</v>
      </c>
      <c r="F72" s="22">
        <v>9</v>
      </c>
      <c r="G72" s="22"/>
      <c r="H72" s="22">
        <v>298</v>
      </c>
      <c r="I72" s="22">
        <v>293</v>
      </c>
      <c r="J72" s="22"/>
      <c r="K72" s="22">
        <v>341</v>
      </c>
      <c r="L72" s="22">
        <v>225</v>
      </c>
      <c r="M72" s="8"/>
    </row>
    <row r="73" spans="1:13" ht="15.75">
      <c r="A73" s="21" t="s">
        <v>67</v>
      </c>
      <c r="B73" s="22">
        <v>224</v>
      </c>
      <c r="C73" s="22">
        <f>F73+I73+L73</f>
        <v>200</v>
      </c>
      <c r="D73" s="22"/>
      <c r="E73" s="22">
        <v>3</v>
      </c>
      <c r="F73" s="23">
        <v>3</v>
      </c>
      <c r="G73" s="22"/>
      <c r="H73" s="22">
        <v>127</v>
      </c>
      <c r="I73" s="22">
        <v>105</v>
      </c>
      <c r="J73" s="22"/>
      <c r="K73" s="22">
        <v>94</v>
      </c>
      <c r="L73" s="22">
        <v>92</v>
      </c>
      <c r="M73" s="8"/>
    </row>
    <row r="74" spans="1:13" ht="15.75">
      <c r="A74" s="21"/>
      <c r="B74" s="22"/>
      <c r="C74" s="22"/>
      <c r="D74" s="22"/>
      <c r="E74" s="22"/>
      <c r="F74" s="23"/>
      <c r="G74" s="22"/>
      <c r="H74" s="22"/>
      <c r="I74" s="22"/>
      <c r="J74" s="22"/>
      <c r="K74" s="22"/>
      <c r="L74" s="22"/>
      <c r="M74" s="8"/>
    </row>
    <row r="75" spans="1:13" ht="15.75">
      <c r="A75" s="21" t="s">
        <v>71</v>
      </c>
      <c r="B75" s="22">
        <v>989</v>
      </c>
      <c r="C75" s="22">
        <f>+I75+L75</f>
        <v>816</v>
      </c>
      <c r="D75" s="22"/>
      <c r="E75" s="23">
        <v>0</v>
      </c>
      <c r="F75" s="23">
        <v>0</v>
      </c>
      <c r="G75" s="22"/>
      <c r="H75" s="22">
        <v>234</v>
      </c>
      <c r="I75" s="22">
        <v>192</v>
      </c>
      <c r="J75" s="22"/>
      <c r="K75" s="22">
        <v>755</v>
      </c>
      <c r="L75" s="22">
        <v>624</v>
      </c>
      <c r="M75" s="8"/>
    </row>
    <row r="76" spans="1:13" ht="15.75">
      <c r="A76" s="24"/>
      <c r="B76" s="25"/>
      <c r="C76" s="25" t="s">
        <v>72</v>
      </c>
      <c r="D76" s="25"/>
      <c r="E76" s="25"/>
      <c r="F76" s="25"/>
      <c r="G76" s="25"/>
      <c r="H76" s="25"/>
      <c r="I76" s="25"/>
      <c r="J76" s="25"/>
      <c r="K76" s="25"/>
      <c r="L76" s="25"/>
      <c r="M76" s="8"/>
    </row>
    <row r="77" spans="1:13" ht="48.75" customHeight="1">
      <c r="A77" s="31" t="s">
        <v>94</v>
      </c>
      <c r="B77" s="31"/>
      <c r="C77" s="31"/>
      <c r="D77" s="31"/>
      <c r="E77" s="31"/>
      <c r="F77" s="31"/>
      <c r="G77" s="31"/>
      <c r="H77" s="31"/>
      <c r="I77" s="31"/>
      <c r="J77" s="31"/>
      <c r="K77" s="31"/>
      <c r="L77" s="31"/>
      <c r="M77" s="8"/>
    </row>
    <row r="78" spans="1:13" ht="15.75">
      <c r="A78" s="21"/>
      <c r="B78" s="22"/>
      <c r="C78" s="22"/>
      <c r="D78" s="22"/>
      <c r="E78" s="22"/>
      <c r="F78" s="22"/>
      <c r="G78" s="22"/>
      <c r="H78" s="22"/>
      <c r="I78" s="22"/>
      <c r="J78" s="22"/>
      <c r="K78" s="22"/>
      <c r="L78" s="22"/>
      <c r="M78" s="8"/>
    </row>
    <row r="79" spans="1:13" ht="15.75">
      <c r="A79" s="21" t="s">
        <v>95</v>
      </c>
      <c r="B79" s="22"/>
      <c r="C79" s="22"/>
      <c r="D79" s="22"/>
      <c r="E79" s="22"/>
      <c r="F79" s="22"/>
      <c r="G79" s="22"/>
      <c r="H79" s="22"/>
      <c r="I79" s="22"/>
      <c r="J79" s="22"/>
      <c r="K79" s="22"/>
      <c r="L79" s="22"/>
      <c r="M79" s="8"/>
    </row>
    <row r="80" spans="1:13" ht="47.25" customHeight="1">
      <c r="A80" s="32" t="s">
        <v>78</v>
      </c>
      <c r="B80" s="32"/>
      <c r="C80" s="32"/>
      <c r="D80" s="32"/>
      <c r="E80" s="32"/>
      <c r="F80" s="32"/>
      <c r="G80" s="32"/>
      <c r="H80" s="32"/>
      <c r="I80" s="32"/>
      <c r="J80" s="32"/>
      <c r="K80" s="32"/>
      <c r="L80" s="32"/>
      <c r="M80" s="1"/>
    </row>
    <row r="81" spans="1:13" ht="15.75">
      <c r="A81" s="21"/>
      <c r="B81" s="21"/>
      <c r="C81" s="21"/>
      <c r="D81" s="21"/>
      <c r="E81" s="21"/>
      <c r="F81" s="21"/>
      <c r="G81" s="21"/>
      <c r="H81" s="21"/>
      <c r="I81" s="21"/>
      <c r="J81" s="21"/>
      <c r="K81" s="21"/>
      <c r="L81" s="21"/>
      <c r="M81" s="1"/>
    </row>
    <row r="82" spans="1:13" ht="15.75">
      <c r="A82" s="21" t="s">
        <v>68</v>
      </c>
      <c r="B82" s="26"/>
      <c r="C82" s="26"/>
      <c r="D82" s="27"/>
      <c r="E82" s="27"/>
      <c r="F82" s="27"/>
      <c r="G82" s="27"/>
      <c r="H82" s="27"/>
      <c r="I82" s="27"/>
      <c r="J82" s="21"/>
      <c r="K82" s="21"/>
      <c r="L82" s="21"/>
      <c r="M82" s="1"/>
    </row>
    <row r="83" spans="1:13" ht="15.75">
      <c r="A83" s="21"/>
      <c r="B83" s="26"/>
      <c r="C83" s="26"/>
      <c r="D83" s="27"/>
      <c r="E83" s="27"/>
      <c r="F83" s="27"/>
      <c r="G83" s="27"/>
      <c r="H83" s="27"/>
      <c r="I83" s="27"/>
      <c r="J83" s="21"/>
      <c r="K83" s="21"/>
      <c r="L83" s="21"/>
      <c r="M83" s="1"/>
    </row>
    <row r="84" spans="1:13" ht="15.75">
      <c r="A84" s="21"/>
      <c r="B84" s="26"/>
      <c r="C84" s="26"/>
      <c r="D84" s="27"/>
      <c r="E84" s="27"/>
      <c r="F84" s="27"/>
      <c r="G84" s="27"/>
      <c r="H84" s="27"/>
      <c r="I84" s="27"/>
      <c r="J84" s="21"/>
      <c r="K84" s="21"/>
      <c r="L84" s="21"/>
      <c r="M84" s="1"/>
    </row>
    <row r="85" spans="1:13" ht="15.75">
      <c r="A85" s="21"/>
      <c r="B85" s="26"/>
      <c r="C85" s="26"/>
      <c r="D85" s="27"/>
      <c r="E85" s="27"/>
      <c r="F85" s="27"/>
      <c r="G85" s="27"/>
      <c r="H85" s="27"/>
      <c r="I85" s="27"/>
      <c r="J85" s="21"/>
      <c r="K85" s="21"/>
      <c r="L85" s="21"/>
      <c r="M85" s="1"/>
    </row>
    <row r="86" spans="1:13" ht="15.75">
      <c r="A86" s="21"/>
      <c r="B86" s="26"/>
      <c r="C86" s="26"/>
      <c r="D86" s="27"/>
      <c r="E86" s="27"/>
      <c r="F86" s="27"/>
      <c r="G86" s="27"/>
      <c r="H86" s="27"/>
      <c r="I86" s="27"/>
      <c r="J86" s="21"/>
      <c r="K86" s="21"/>
      <c r="L86" s="21"/>
      <c r="M86" s="1"/>
    </row>
    <row r="87" spans="1:13" ht="15.75">
      <c r="A87" s="21"/>
      <c r="B87" s="21"/>
      <c r="C87" s="21"/>
      <c r="D87" s="21"/>
      <c r="E87" s="21"/>
      <c r="F87" s="21"/>
      <c r="G87" s="21"/>
      <c r="H87" s="21"/>
      <c r="I87" s="21"/>
      <c r="J87" s="21"/>
      <c r="K87" s="21"/>
      <c r="L87" s="21"/>
      <c r="M87" s="1"/>
    </row>
    <row r="88" spans="1:13" ht="15.75">
      <c r="A88" s="21"/>
      <c r="B88" s="21"/>
      <c r="C88" s="21"/>
      <c r="D88" s="21"/>
      <c r="E88" s="21"/>
      <c r="F88" s="21"/>
      <c r="G88" s="21"/>
      <c r="H88" s="21"/>
      <c r="I88" s="21"/>
      <c r="J88" s="21"/>
      <c r="K88" s="21"/>
      <c r="L88" s="21"/>
      <c r="M88" s="1"/>
    </row>
  </sheetData>
  <sheetProtection/>
  <mergeCells count="6">
    <mergeCell ref="B4:C4"/>
    <mergeCell ref="E4:F4"/>
    <mergeCell ref="H4:I4"/>
    <mergeCell ref="K4:L4"/>
    <mergeCell ref="A77:L77"/>
    <mergeCell ref="A80:L8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96"/>
  <sheetViews>
    <sheetView zoomScalePageLayoutView="0" workbookViewId="0" topLeftCell="A1">
      <selection activeCell="A1" sqref="A1"/>
    </sheetView>
  </sheetViews>
  <sheetFormatPr defaultColWidth="8.88671875" defaultRowHeight="15.75"/>
  <cols>
    <col min="1" max="1" width="25.77734375" style="0" customWidth="1"/>
    <col min="2" max="3" width="10.77734375" style="0" customWidth="1"/>
    <col min="4" max="4" width="2.77734375" style="0" customWidth="1"/>
    <col min="5" max="6" width="10.77734375" style="0" customWidth="1"/>
    <col min="7" max="7" width="2.77734375" style="0" customWidth="1"/>
    <col min="8" max="9" width="10.77734375" style="0" customWidth="1"/>
    <col min="10" max="10" width="2.77734375" style="0" customWidth="1"/>
    <col min="11" max="16384" width="10.77734375" style="0" customWidth="1"/>
  </cols>
  <sheetData>
    <row r="1" spans="1:12" ht="20.25">
      <c r="A1" s="12" t="s">
        <v>0</v>
      </c>
      <c r="B1" s="1"/>
      <c r="C1" s="2"/>
      <c r="D1" s="1"/>
      <c r="E1" s="1"/>
      <c r="F1" s="1"/>
      <c r="G1" s="1"/>
      <c r="H1" s="1"/>
      <c r="I1" s="1"/>
      <c r="J1" s="1"/>
      <c r="K1" s="1"/>
      <c r="L1" s="1"/>
    </row>
    <row r="2" spans="1:12" ht="20.25">
      <c r="A2" s="12" t="s">
        <v>97</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93</v>
      </c>
      <c r="C4" s="30"/>
      <c r="D4" s="3"/>
      <c r="E4" s="30" t="s">
        <v>69</v>
      </c>
      <c r="F4" s="30"/>
      <c r="G4" s="3"/>
      <c r="H4" s="30" t="s">
        <v>70</v>
      </c>
      <c r="I4" s="30"/>
      <c r="J4" s="3"/>
      <c r="K4" s="30" t="s">
        <v>92</v>
      </c>
      <c r="L4" s="30"/>
    </row>
    <row r="5" spans="1:12" ht="29.25">
      <c r="A5" s="4" t="s">
        <v>1</v>
      </c>
      <c r="B5" s="17" t="s">
        <v>98</v>
      </c>
      <c r="C5" s="5">
        <v>2003</v>
      </c>
      <c r="D5" s="4"/>
      <c r="E5" s="17" t="s">
        <v>98</v>
      </c>
      <c r="F5" s="5">
        <v>2003</v>
      </c>
      <c r="G5" s="4"/>
      <c r="H5" s="17" t="s">
        <v>98</v>
      </c>
      <c r="I5" s="5">
        <v>2003</v>
      </c>
      <c r="J5" s="4"/>
      <c r="K5" s="17" t="s">
        <v>98</v>
      </c>
      <c r="L5" s="5">
        <v>2003</v>
      </c>
    </row>
    <row r="6" spans="1:12" ht="15.75">
      <c r="A6" s="1"/>
      <c r="B6" s="1"/>
      <c r="C6" s="2"/>
      <c r="D6" s="1"/>
      <c r="E6" s="1"/>
      <c r="F6" s="1"/>
      <c r="G6" s="1"/>
      <c r="H6" s="6"/>
      <c r="I6" s="1"/>
      <c r="J6" s="1"/>
      <c r="K6" s="1"/>
      <c r="L6" s="1"/>
    </row>
    <row r="7" spans="1:13" ht="15.75">
      <c r="A7" s="1" t="s">
        <v>2</v>
      </c>
      <c r="B7" s="8">
        <f>+B9+B16+B75</f>
        <v>326136</v>
      </c>
      <c r="C7" s="8">
        <f>+C9+C16+C75</f>
        <v>246926</v>
      </c>
      <c r="D7" s="8" t="s">
        <v>3</v>
      </c>
      <c r="E7" s="8">
        <f>+E9+E16</f>
        <v>1393</v>
      </c>
      <c r="F7" s="8">
        <f>+F9+F16</f>
        <v>1351</v>
      </c>
      <c r="G7" s="8"/>
      <c r="H7" s="8">
        <v>182382</v>
      </c>
      <c r="I7" s="8">
        <f>+I9+I16+I75</f>
        <v>167514</v>
      </c>
      <c r="J7" s="8"/>
      <c r="K7" s="8">
        <v>142360</v>
      </c>
      <c r="L7" s="8">
        <f>+L9+L16+L75</f>
        <v>78061</v>
      </c>
      <c r="M7" s="8"/>
    </row>
    <row r="8" spans="1:13" ht="15.75">
      <c r="A8" s="1"/>
      <c r="B8" s="8"/>
      <c r="C8" s="8"/>
      <c r="D8" s="8"/>
      <c r="E8" s="8"/>
      <c r="F8" s="8"/>
      <c r="G8" s="8" t="s">
        <v>3</v>
      </c>
      <c r="H8" s="8"/>
      <c r="I8" s="8"/>
      <c r="J8" s="8" t="s">
        <v>3</v>
      </c>
      <c r="K8" s="8"/>
      <c r="L8" s="8"/>
      <c r="M8" s="8"/>
    </row>
    <row r="9" spans="1:13" ht="15.75">
      <c r="A9" s="1" t="s">
        <v>4</v>
      </c>
      <c r="B9" s="8">
        <v>110499</v>
      </c>
      <c r="C9" s="8">
        <f>SUM(C10:C14)</f>
        <v>84949</v>
      </c>
      <c r="D9" s="8" t="s">
        <v>3</v>
      </c>
      <c r="E9" s="8">
        <f>SUM(E10:E14)</f>
        <v>343</v>
      </c>
      <c r="F9" s="8">
        <f>SUM(F10:F14)</f>
        <v>320</v>
      </c>
      <c r="G9" s="8"/>
      <c r="H9" s="8">
        <v>79322</v>
      </c>
      <c r="I9" s="8">
        <f>SUM(I10:I14)</f>
        <v>67050</v>
      </c>
      <c r="J9" s="8"/>
      <c r="K9" s="8">
        <f>SUM(K10:K14)</f>
        <v>30835</v>
      </c>
      <c r="L9" s="8">
        <f>SUM(L10:L14)</f>
        <v>17579</v>
      </c>
      <c r="M9" s="8"/>
    </row>
    <row r="10" spans="1:13" ht="15.75">
      <c r="A10" s="1" t="s">
        <v>5</v>
      </c>
      <c r="B10" s="8">
        <v>17490</v>
      </c>
      <c r="C10" s="8">
        <f>F10+I10+L10</f>
        <v>13662</v>
      </c>
      <c r="D10" s="8"/>
      <c r="E10" s="8">
        <v>54</v>
      </c>
      <c r="F10" s="8">
        <v>46</v>
      </c>
      <c r="G10" s="8"/>
      <c r="H10" s="8">
        <v>12540</v>
      </c>
      <c r="I10" s="8">
        <v>10957</v>
      </c>
      <c r="J10" s="8"/>
      <c r="K10" s="8">
        <v>4896</v>
      </c>
      <c r="L10" s="8">
        <v>2659</v>
      </c>
      <c r="M10" s="8"/>
    </row>
    <row r="11" spans="1:13" ht="15.75">
      <c r="A11" s="1" t="s">
        <v>6</v>
      </c>
      <c r="B11" s="8">
        <v>33086</v>
      </c>
      <c r="C11" s="8">
        <f>F11+I11+L11</f>
        <v>24909</v>
      </c>
      <c r="D11" s="8"/>
      <c r="E11" s="8">
        <v>103</v>
      </c>
      <c r="F11" s="8">
        <v>85</v>
      </c>
      <c r="G11" s="8"/>
      <c r="H11" s="8">
        <v>25372</v>
      </c>
      <c r="I11" s="8">
        <v>20983</v>
      </c>
      <c r="J11" s="8"/>
      <c r="K11" s="8">
        <v>7611</v>
      </c>
      <c r="L11" s="8">
        <v>3841</v>
      </c>
      <c r="M11" s="8"/>
    </row>
    <row r="12" spans="1:13" ht="15.75">
      <c r="A12" s="1" t="s">
        <v>7</v>
      </c>
      <c r="B12" s="8">
        <v>20990</v>
      </c>
      <c r="C12" s="8">
        <f>F12+I12+L12</f>
        <v>15463</v>
      </c>
      <c r="D12" s="8"/>
      <c r="E12" s="8">
        <v>58</v>
      </c>
      <c r="F12" s="8">
        <v>64</v>
      </c>
      <c r="G12" s="8"/>
      <c r="H12" s="8">
        <v>14007</v>
      </c>
      <c r="I12" s="8">
        <v>11833</v>
      </c>
      <c r="J12" s="8"/>
      <c r="K12" s="8">
        <v>6924</v>
      </c>
      <c r="L12" s="8">
        <v>3566</v>
      </c>
      <c r="M12" s="8"/>
    </row>
    <row r="13" spans="1:13" ht="15.75">
      <c r="A13" s="1" t="s">
        <v>8</v>
      </c>
      <c r="B13" s="8">
        <v>33021</v>
      </c>
      <c r="C13" s="8">
        <f>F13+I13+L13</f>
        <v>25688</v>
      </c>
      <c r="D13" s="8"/>
      <c r="E13" s="8">
        <v>104</v>
      </c>
      <c r="F13" s="8">
        <v>103</v>
      </c>
      <c r="G13" s="8"/>
      <c r="H13" s="8">
        <v>23523</v>
      </c>
      <c r="I13" s="8">
        <v>19565</v>
      </c>
      <c r="J13" s="8"/>
      <c r="K13" s="8">
        <v>9394</v>
      </c>
      <c r="L13" s="8">
        <v>6020</v>
      </c>
      <c r="M13" s="8"/>
    </row>
    <row r="14" spans="1:13" ht="15.75">
      <c r="A14" s="1" t="s">
        <v>9</v>
      </c>
      <c r="B14" s="8">
        <v>5913</v>
      </c>
      <c r="C14" s="8">
        <f>F14+I14+L14</f>
        <v>5227</v>
      </c>
      <c r="D14" s="8"/>
      <c r="E14" s="8">
        <v>24</v>
      </c>
      <c r="F14" s="8">
        <v>22</v>
      </c>
      <c r="G14" s="8"/>
      <c r="H14" s="8">
        <v>3879</v>
      </c>
      <c r="I14" s="8">
        <v>3712</v>
      </c>
      <c r="J14" s="8"/>
      <c r="K14" s="8">
        <v>2010</v>
      </c>
      <c r="L14" s="8">
        <v>1493</v>
      </c>
      <c r="M14" s="8"/>
    </row>
    <row r="15" spans="1:13" ht="15.75">
      <c r="A15" s="1"/>
      <c r="B15" s="8"/>
      <c r="C15" s="8"/>
      <c r="D15" s="8"/>
      <c r="E15" s="8"/>
      <c r="F15" s="8"/>
      <c r="G15" s="8"/>
      <c r="H15" s="8"/>
      <c r="I15" s="8"/>
      <c r="J15" s="8"/>
      <c r="K15" s="8"/>
      <c r="L15" s="8"/>
      <c r="M15" s="8"/>
    </row>
    <row r="16" spans="1:13" ht="15.75">
      <c r="A16" s="1" t="s">
        <v>10</v>
      </c>
      <c r="B16" s="8">
        <f>SUM(B17:B73)</f>
        <v>215014</v>
      </c>
      <c r="C16" s="8">
        <f>SUM(C17:C73)</f>
        <v>160877</v>
      </c>
      <c r="D16" s="8"/>
      <c r="E16" s="8">
        <v>1050</v>
      </c>
      <c r="F16" s="8">
        <f>SUM(F17:F73)</f>
        <v>1031</v>
      </c>
      <c r="G16" s="8"/>
      <c r="H16" s="8">
        <v>102922</v>
      </c>
      <c r="I16" s="8">
        <f>SUM(I17:I73)</f>
        <v>100177</v>
      </c>
      <c r="J16" s="8"/>
      <c r="K16" s="8">
        <v>111042</v>
      </c>
      <c r="L16" s="8">
        <f>SUM(L17:L73)</f>
        <v>59669</v>
      </c>
      <c r="M16" s="8"/>
    </row>
    <row r="17" spans="1:13" ht="15.75">
      <c r="A17" s="1" t="s">
        <v>11</v>
      </c>
      <c r="B17" s="8">
        <v>6678</v>
      </c>
      <c r="C17" s="8">
        <f aca="true" t="shared" si="0" ref="C17:C22">F17+I17+L17</f>
        <v>5429</v>
      </c>
      <c r="D17" s="8"/>
      <c r="E17" s="8">
        <v>20</v>
      </c>
      <c r="F17" s="8">
        <v>19</v>
      </c>
      <c r="G17" s="8"/>
      <c r="H17" s="8">
        <v>2961</v>
      </c>
      <c r="I17" s="8">
        <v>3254</v>
      </c>
      <c r="J17" s="8"/>
      <c r="K17" s="8">
        <v>3697</v>
      </c>
      <c r="L17" s="8">
        <v>2156</v>
      </c>
      <c r="M17" s="8"/>
    </row>
    <row r="18" spans="1:13" ht="15.75">
      <c r="A18" s="1" t="s">
        <v>12</v>
      </c>
      <c r="B18" s="8">
        <v>748</v>
      </c>
      <c r="C18" s="8">
        <f t="shared" si="0"/>
        <v>588</v>
      </c>
      <c r="D18" s="8"/>
      <c r="E18" s="8">
        <v>8</v>
      </c>
      <c r="F18" s="8">
        <v>7</v>
      </c>
      <c r="G18" s="8"/>
      <c r="H18" s="8">
        <v>302</v>
      </c>
      <c r="I18" s="8">
        <v>320</v>
      </c>
      <c r="J18" s="8"/>
      <c r="K18" s="8">
        <v>437</v>
      </c>
      <c r="L18" s="8">
        <v>261</v>
      </c>
      <c r="M18" s="8"/>
    </row>
    <row r="19" spans="1:13" ht="15.75">
      <c r="A19" s="1" t="s">
        <v>13</v>
      </c>
      <c r="B19" s="8">
        <v>3702</v>
      </c>
      <c r="C19" s="8">
        <f t="shared" si="0"/>
        <v>2465</v>
      </c>
      <c r="D19" s="8"/>
      <c r="E19" s="8">
        <v>15</v>
      </c>
      <c r="F19" s="8">
        <v>13</v>
      </c>
      <c r="G19" s="8"/>
      <c r="H19" s="8">
        <v>1698</v>
      </c>
      <c r="I19" s="8">
        <v>1602</v>
      </c>
      <c r="J19" s="8"/>
      <c r="K19" s="8">
        <v>1989</v>
      </c>
      <c r="L19" s="8">
        <v>850</v>
      </c>
      <c r="M19" s="8"/>
    </row>
    <row r="20" spans="1:13" ht="15.75">
      <c r="A20" s="1" t="s">
        <v>14</v>
      </c>
      <c r="B20" s="8">
        <v>1294</v>
      </c>
      <c r="C20" s="8">
        <f t="shared" si="0"/>
        <v>958</v>
      </c>
      <c r="D20" s="8"/>
      <c r="E20" s="8">
        <v>10</v>
      </c>
      <c r="F20" s="8">
        <v>10</v>
      </c>
      <c r="G20" s="8"/>
      <c r="H20" s="8">
        <v>623</v>
      </c>
      <c r="I20" s="8">
        <v>568</v>
      </c>
      <c r="J20" s="8"/>
      <c r="K20" s="8">
        <v>661</v>
      </c>
      <c r="L20" s="8">
        <v>380</v>
      </c>
      <c r="M20" s="8"/>
    </row>
    <row r="21" spans="1:13" ht="15.75">
      <c r="A21" s="1" t="s">
        <v>15</v>
      </c>
      <c r="B21" s="8">
        <v>1299</v>
      </c>
      <c r="C21" s="8">
        <f t="shared" si="0"/>
        <v>984</v>
      </c>
      <c r="D21" s="8"/>
      <c r="E21" s="8">
        <v>7</v>
      </c>
      <c r="F21" s="8">
        <v>8</v>
      </c>
      <c r="G21" s="8"/>
      <c r="H21" s="8">
        <v>618</v>
      </c>
      <c r="I21" s="8">
        <v>596</v>
      </c>
      <c r="J21" s="8"/>
      <c r="K21" s="8">
        <v>674</v>
      </c>
      <c r="L21" s="8">
        <v>380</v>
      </c>
      <c r="M21" s="8"/>
    </row>
    <row r="22" spans="1:13" ht="15.75">
      <c r="A22" s="1" t="s">
        <v>16</v>
      </c>
      <c r="B22" s="8">
        <v>2549</v>
      </c>
      <c r="C22" s="8">
        <f t="shared" si="0"/>
        <v>1665</v>
      </c>
      <c r="D22" s="8"/>
      <c r="E22" s="8">
        <v>14</v>
      </c>
      <c r="F22" s="8">
        <v>13</v>
      </c>
      <c r="G22" s="8"/>
      <c r="H22" s="8">
        <v>1061</v>
      </c>
      <c r="I22" s="8">
        <v>1100</v>
      </c>
      <c r="J22" s="8"/>
      <c r="K22" s="8">
        <v>1474</v>
      </c>
      <c r="L22" s="8">
        <v>552</v>
      </c>
      <c r="M22" s="8"/>
    </row>
    <row r="23" spans="1:13" ht="15.75">
      <c r="A23" s="1" t="s">
        <v>17</v>
      </c>
      <c r="B23" s="8">
        <v>1296</v>
      </c>
      <c r="C23" s="8">
        <f aca="true" t="shared" si="1" ref="C23:C28">F23+I23+L23</f>
        <v>853</v>
      </c>
      <c r="D23" s="8"/>
      <c r="E23" s="8">
        <v>6</v>
      </c>
      <c r="F23" s="8">
        <v>11</v>
      </c>
      <c r="G23" s="8"/>
      <c r="H23" s="8">
        <v>652</v>
      </c>
      <c r="I23" s="8">
        <v>557</v>
      </c>
      <c r="J23" s="8"/>
      <c r="K23" s="8">
        <v>637</v>
      </c>
      <c r="L23" s="8">
        <v>285</v>
      </c>
      <c r="M23" s="8"/>
    </row>
    <row r="24" spans="1:13" ht="15.75">
      <c r="A24" s="1" t="s">
        <v>18</v>
      </c>
      <c r="B24" s="8">
        <v>984</v>
      </c>
      <c r="C24" s="8">
        <f t="shared" si="1"/>
        <v>711</v>
      </c>
      <c r="D24" s="8"/>
      <c r="E24" s="8">
        <v>8</v>
      </c>
      <c r="F24" s="8">
        <v>10</v>
      </c>
      <c r="G24" s="8"/>
      <c r="H24" s="8">
        <v>398</v>
      </c>
      <c r="I24" s="8">
        <v>377</v>
      </c>
      <c r="J24" s="8"/>
      <c r="K24" s="8">
        <v>578</v>
      </c>
      <c r="L24" s="8">
        <v>324</v>
      </c>
      <c r="M24" s="8"/>
    </row>
    <row r="25" spans="1:13" ht="15.75">
      <c r="A25" s="1" t="s">
        <v>19</v>
      </c>
      <c r="B25" s="8">
        <v>1491</v>
      </c>
      <c r="C25" s="8">
        <f t="shared" si="1"/>
        <v>973</v>
      </c>
      <c r="D25" s="8"/>
      <c r="E25" s="8">
        <v>12</v>
      </c>
      <c r="F25" s="8">
        <v>6</v>
      </c>
      <c r="G25" s="8"/>
      <c r="H25" s="8">
        <v>598</v>
      </c>
      <c r="I25" s="8">
        <v>569</v>
      </c>
      <c r="J25" s="8"/>
      <c r="K25" s="8">
        <v>881</v>
      </c>
      <c r="L25" s="8">
        <v>398</v>
      </c>
      <c r="M25" s="8"/>
    </row>
    <row r="26" spans="1:13" ht="15.75">
      <c r="A26" s="1" t="s">
        <v>20</v>
      </c>
      <c r="B26" s="8">
        <v>1208</v>
      </c>
      <c r="C26" s="8">
        <f t="shared" si="1"/>
        <v>941</v>
      </c>
      <c r="D26" s="8"/>
      <c r="E26" s="8">
        <v>9</v>
      </c>
      <c r="F26" s="8">
        <v>9</v>
      </c>
      <c r="G26" s="8"/>
      <c r="H26" s="8">
        <v>503</v>
      </c>
      <c r="I26" s="8">
        <v>495</v>
      </c>
      <c r="J26" s="8"/>
      <c r="K26" s="8">
        <v>696</v>
      </c>
      <c r="L26" s="8">
        <v>437</v>
      </c>
      <c r="M26" s="8"/>
    </row>
    <row r="27" spans="1:13" ht="15.75">
      <c r="A27" s="1" t="s">
        <v>21</v>
      </c>
      <c r="B27" s="8">
        <v>1020</v>
      </c>
      <c r="C27" s="8">
        <f t="shared" si="1"/>
        <v>679</v>
      </c>
      <c r="D27" s="8"/>
      <c r="E27" s="8">
        <v>5</v>
      </c>
      <c r="F27" s="8">
        <v>1</v>
      </c>
      <c r="G27" s="8"/>
      <c r="H27" s="8">
        <v>395</v>
      </c>
      <c r="I27" s="8">
        <v>438</v>
      </c>
      <c r="J27" s="8"/>
      <c r="K27" s="8">
        <v>619</v>
      </c>
      <c r="L27" s="8">
        <v>240</v>
      </c>
      <c r="M27" s="8"/>
    </row>
    <row r="28" spans="1:13" ht="15.75">
      <c r="A28" s="1" t="s">
        <v>22</v>
      </c>
      <c r="B28" s="8">
        <v>971</v>
      </c>
      <c r="C28" s="8">
        <f t="shared" si="1"/>
        <v>631</v>
      </c>
      <c r="D28" s="8"/>
      <c r="E28" s="8">
        <v>9</v>
      </c>
      <c r="F28" s="8">
        <v>9</v>
      </c>
      <c r="G28" s="8"/>
      <c r="H28" s="8">
        <v>399</v>
      </c>
      <c r="I28" s="8">
        <v>342</v>
      </c>
      <c r="J28" s="8"/>
      <c r="K28" s="8">
        <v>563</v>
      </c>
      <c r="L28" s="8">
        <v>280</v>
      </c>
      <c r="M28" s="8"/>
    </row>
    <row r="29" spans="1:13" ht="15.75">
      <c r="A29" s="1" t="s">
        <v>23</v>
      </c>
      <c r="B29" s="8">
        <v>5709</v>
      </c>
      <c r="C29" s="8">
        <f aca="true" t="shared" si="2" ref="C29:C34">F29+I29+L29</f>
        <v>4524</v>
      </c>
      <c r="D29" s="8"/>
      <c r="E29" s="8">
        <v>28</v>
      </c>
      <c r="F29" s="8">
        <v>32</v>
      </c>
      <c r="G29" s="8"/>
      <c r="H29" s="8">
        <v>2681</v>
      </c>
      <c r="I29" s="8">
        <v>2742</v>
      </c>
      <c r="J29" s="8"/>
      <c r="K29" s="8">
        <v>3000</v>
      </c>
      <c r="L29" s="8">
        <v>1750</v>
      </c>
      <c r="M29" s="8"/>
    </row>
    <row r="30" spans="1:13" ht="15.75">
      <c r="A30" s="1" t="s">
        <v>24</v>
      </c>
      <c r="B30" s="8">
        <v>14274</v>
      </c>
      <c r="C30" s="8">
        <f t="shared" si="2"/>
        <v>12345</v>
      </c>
      <c r="D30" s="8"/>
      <c r="E30" s="8">
        <v>66</v>
      </c>
      <c r="F30" s="8">
        <v>65</v>
      </c>
      <c r="G30" s="8"/>
      <c r="H30" s="8">
        <v>8025</v>
      </c>
      <c r="I30" s="8">
        <v>7886</v>
      </c>
      <c r="J30" s="8"/>
      <c r="K30" s="8">
        <v>6183</v>
      </c>
      <c r="L30" s="8">
        <v>4394</v>
      </c>
      <c r="M30" s="8"/>
    </row>
    <row r="31" spans="1:13" ht="15.75">
      <c r="A31" s="1" t="s">
        <v>25</v>
      </c>
      <c r="B31" s="8">
        <v>828</v>
      </c>
      <c r="C31" s="8">
        <f t="shared" si="2"/>
        <v>554</v>
      </c>
      <c r="D31" s="8"/>
      <c r="E31" s="8">
        <v>8</v>
      </c>
      <c r="F31" s="8">
        <v>8</v>
      </c>
      <c r="G31" s="8"/>
      <c r="H31" s="8">
        <v>318</v>
      </c>
      <c r="I31" s="8">
        <v>294</v>
      </c>
      <c r="J31" s="8"/>
      <c r="K31" s="8">
        <v>502</v>
      </c>
      <c r="L31" s="8">
        <v>252</v>
      </c>
      <c r="M31" s="8"/>
    </row>
    <row r="32" spans="1:13" ht="15.75">
      <c r="A32" s="1" t="s">
        <v>26</v>
      </c>
      <c r="B32" s="8">
        <v>894</v>
      </c>
      <c r="C32" s="8">
        <f t="shared" si="2"/>
        <v>609</v>
      </c>
      <c r="D32" s="8"/>
      <c r="E32" s="8">
        <v>8</v>
      </c>
      <c r="F32" s="8">
        <v>4</v>
      </c>
      <c r="G32" s="8"/>
      <c r="H32" s="8">
        <v>348</v>
      </c>
      <c r="I32" s="8">
        <v>328</v>
      </c>
      <c r="J32" s="8"/>
      <c r="K32" s="8">
        <v>538</v>
      </c>
      <c r="L32" s="8">
        <v>277</v>
      </c>
      <c r="M32" s="8"/>
    </row>
    <row r="33" spans="1:13" ht="15.75">
      <c r="A33" s="1" t="s">
        <v>27</v>
      </c>
      <c r="B33" s="8">
        <v>1035</v>
      </c>
      <c r="C33" s="8">
        <f t="shared" si="2"/>
        <v>685</v>
      </c>
      <c r="D33" s="8"/>
      <c r="E33" s="8">
        <v>4</v>
      </c>
      <c r="F33" s="8">
        <v>11</v>
      </c>
      <c r="G33" s="8"/>
      <c r="H33" s="8">
        <v>463</v>
      </c>
      <c r="I33" s="8">
        <v>449</v>
      </c>
      <c r="J33" s="8"/>
      <c r="K33" s="8">
        <v>568</v>
      </c>
      <c r="L33" s="8">
        <v>225</v>
      </c>
      <c r="M33" s="8"/>
    </row>
    <row r="34" spans="1:13" ht="15.75">
      <c r="A34" s="1" t="s">
        <v>28</v>
      </c>
      <c r="B34" s="8">
        <v>1404</v>
      </c>
      <c r="C34" s="8">
        <f t="shared" si="2"/>
        <v>937</v>
      </c>
      <c r="D34" s="8"/>
      <c r="E34" s="8">
        <v>12</v>
      </c>
      <c r="F34" s="8">
        <v>17</v>
      </c>
      <c r="G34" s="8"/>
      <c r="H34" s="8">
        <v>603</v>
      </c>
      <c r="I34" s="8">
        <v>617</v>
      </c>
      <c r="J34" s="8"/>
      <c r="K34" s="8">
        <v>789</v>
      </c>
      <c r="L34" s="8">
        <v>303</v>
      </c>
      <c r="M34" s="8"/>
    </row>
    <row r="35" spans="1:13" ht="15.75">
      <c r="A35" s="1" t="s">
        <v>29</v>
      </c>
      <c r="B35" s="8">
        <v>923</v>
      </c>
      <c r="C35" s="8">
        <f aca="true" t="shared" si="3" ref="C35:C40">F35+I35+L35</f>
        <v>746</v>
      </c>
      <c r="D35" s="8"/>
      <c r="E35" s="8">
        <v>9</v>
      </c>
      <c r="F35" s="8">
        <v>8</v>
      </c>
      <c r="G35" s="8"/>
      <c r="H35" s="8">
        <v>394</v>
      </c>
      <c r="I35" s="8">
        <v>468</v>
      </c>
      <c r="J35" s="8"/>
      <c r="K35" s="8">
        <v>520</v>
      </c>
      <c r="L35" s="8">
        <v>270</v>
      </c>
      <c r="M35" s="8"/>
    </row>
    <row r="36" spans="1:13" ht="15.75">
      <c r="A36" s="1" t="s">
        <v>30</v>
      </c>
      <c r="B36" s="8">
        <v>172</v>
      </c>
      <c r="C36" s="8">
        <f t="shared" si="3"/>
        <v>122</v>
      </c>
      <c r="D36" s="8"/>
      <c r="E36" s="8">
        <v>2</v>
      </c>
      <c r="F36" s="7">
        <v>1</v>
      </c>
      <c r="G36" s="8"/>
      <c r="H36" s="8">
        <v>55</v>
      </c>
      <c r="I36" s="8">
        <v>52</v>
      </c>
      <c r="J36" s="8"/>
      <c r="K36" s="8">
        <v>115</v>
      </c>
      <c r="L36" s="8">
        <v>69</v>
      </c>
      <c r="M36" s="8"/>
    </row>
    <row r="37" spans="1:13" ht="15.75">
      <c r="A37" s="1" t="s">
        <v>31</v>
      </c>
      <c r="B37" s="8">
        <v>1009</v>
      </c>
      <c r="C37" s="8">
        <f t="shared" si="3"/>
        <v>759</v>
      </c>
      <c r="D37" s="8"/>
      <c r="E37" s="8">
        <v>8</v>
      </c>
      <c r="F37" s="8">
        <v>8</v>
      </c>
      <c r="G37" s="8"/>
      <c r="H37" s="8">
        <v>443</v>
      </c>
      <c r="I37" s="8">
        <v>424</v>
      </c>
      <c r="J37" s="8"/>
      <c r="K37" s="8">
        <v>559</v>
      </c>
      <c r="L37" s="8">
        <v>327</v>
      </c>
      <c r="M37" s="8"/>
    </row>
    <row r="38" spans="1:13" ht="15.75">
      <c r="A38" s="1" t="s">
        <v>32</v>
      </c>
      <c r="B38" s="8">
        <v>1765</v>
      </c>
      <c r="C38" s="8">
        <f t="shared" si="3"/>
        <v>1093</v>
      </c>
      <c r="D38" s="8"/>
      <c r="E38" s="8">
        <v>15</v>
      </c>
      <c r="F38" s="8">
        <v>8</v>
      </c>
      <c r="G38" s="8"/>
      <c r="H38" s="8">
        <v>754</v>
      </c>
      <c r="I38" s="8">
        <v>680</v>
      </c>
      <c r="J38" s="8"/>
      <c r="K38" s="8">
        <v>996</v>
      </c>
      <c r="L38" s="8">
        <v>405</v>
      </c>
      <c r="M38" s="8"/>
    </row>
    <row r="39" spans="1:13" ht="15.75">
      <c r="A39" s="1" t="s">
        <v>33</v>
      </c>
      <c r="B39" s="8">
        <v>491</v>
      </c>
      <c r="C39" s="8">
        <f t="shared" si="3"/>
        <v>339</v>
      </c>
      <c r="D39" s="8"/>
      <c r="E39" s="8">
        <v>5</v>
      </c>
      <c r="F39" s="8">
        <v>5</v>
      </c>
      <c r="G39" s="8"/>
      <c r="H39" s="8">
        <v>182</v>
      </c>
      <c r="I39" s="8">
        <v>176</v>
      </c>
      <c r="J39" s="8"/>
      <c r="K39" s="8">
        <v>304</v>
      </c>
      <c r="L39" s="8">
        <v>158</v>
      </c>
      <c r="M39" s="8"/>
    </row>
    <row r="40" spans="1:13" ht="15.75">
      <c r="A40" s="1" t="s">
        <v>34</v>
      </c>
      <c r="B40" s="8">
        <v>1272</v>
      </c>
      <c r="C40" s="8">
        <f t="shared" si="3"/>
        <v>728</v>
      </c>
      <c r="D40" s="8"/>
      <c r="E40" s="8">
        <v>11</v>
      </c>
      <c r="F40" s="8">
        <v>7</v>
      </c>
      <c r="G40" s="8"/>
      <c r="H40" s="8">
        <v>456</v>
      </c>
      <c r="I40" s="8">
        <v>429</v>
      </c>
      <c r="J40" s="8"/>
      <c r="K40" s="8">
        <v>805</v>
      </c>
      <c r="L40" s="8">
        <v>292</v>
      </c>
      <c r="M40" s="8"/>
    </row>
    <row r="41" spans="1:13" ht="15.75">
      <c r="A41" s="1" t="s">
        <v>35</v>
      </c>
      <c r="B41" s="8">
        <v>1287</v>
      </c>
      <c r="C41" s="8">
        <f aca="true" t="shared" si="4" ref="C41:C46">F41+I41+L41</f>
        <v>867</v>
      </c>
      <c r="D41" s="8"/>
      <c r="E41" s="8">
        <v>9</v>
      </c>
      <c r="F41" s="8">
        <v>11</v>
      </c>
      <c r="G41" s="8"/>
      <c r="H41" s="8">
        <v>523</v>
      </c>
      <c r="I41" s="8">
        <v>510</v>
      </c>
      <c r="J41" s="8"/>
      <c r="K41" s="8">
        <v>755</v>
      </c>
      <c r="L41" s="8">
        <v>346</v>
      </c>
      <c r="M41" s="8"/>
    </row>
    <row r="42" spans="1:13" ht="15.75">
      <c r="A42" s="1" t="s">
        <v>36</v>
      </c>
      <c r="B42" s="8">
        <v>14440</v>
      </c>
      <c r="C42" s="8">
        <f t="shared" si="4"/>
        <v>10353</v>
      </c>
      <c r="D42" s="8"/>
      <c r="E42" s="8">
        <v>51</v>
      </c>
      <c r="F42" s="8">
        <v>37</v>
      </c>
      <c r="G42" s="8"/>
      <c r="H42" s="8">
        <v>6370</v>
      </c>
      <c r="I42" s="8">
        <v>5905</v>
      </c>
      <c r="J42" s="8"/>
      <c r="K42" s="8">
        <v>8019</v>
      </c>
      <c r="L42" s="8">
        <v>4411</v>
      </c>
      <c r="M42" s="8"/>
    </row>
    <row r="43" spans="1:13" ht="15.75">
      <c r="A43" s="1" t="s">
        <v>37</v>
      </c>
      <c r="B43" s="8">
        <v>982</v>
      </c>
      <c r="C43" s="8">
        <f t="shared" si="4"/>
        <v>617</v>
      </c>
      <c r="D43" s="8"/>
      <c r="E43" s="8">
        <v>6</v>
      </c>
      <c r="F43" s="8">
        <v>9</v>
      </c>
      <c r="G43" s="8"/>
      <c r="H43" s="8">
        <v>373</v>
      </c>
      <c r="I43" s="8">
        <v>390</v>
      </c>
      <c r="J43" s="8"/>
      <c r="K43" s="8">
        <v>602</v>
      </c>
      <c r="L43" s="8">
        <v>218</v>
      </c>
      <c r="M43" s="8"/>
    </row>
    <row r="44" spans="1:13" ht="15.75">
      <c r="A44" s="1" t="s">
        <v>38</v>
      </c>
      <c r="B44" s="8">
        <v>31773</v>
      </c>
      <c r="C44" s="8">
        <f t="shared" si="4"/>
        <v>24461</v>
      </c>
      <c r="D44" s="8"/>
      <c r="E44" s="8">
        <v>99</v>
      </c>
      <c r="F44" s="8">
        <v>104</v>
      </c>
      <c r="G44" s="8"/>
      <c r="H44" s="8">
        <v>16930</v>
      </c>
      <c r="I44" s="8">
        <v>16172</v>
      </c>
      <c r="J44" s="8"/>
      <c r="K44" s="8">
        <v>14743</v>
      </c>
      <c r="L44" s="8">
        <v>8185</v>
      </c>
      <c r="M44" s="8"/>
    </row>
    <row r="45" spans="1:13" ht="15.75">
      <c r="A45" s="1" t="s">
        <v>39</v>
      </c>
      <c r="B45" s="8">
        <v>3312</v>
      </c>
      <c r="C45" s="8">
        <f t="shared" si="4"/>
        <v>2627</v>
      </c>
      <c r="D45" s="8"/>
      <c r="E45" s="8">
        <v>21</v>
      </c>
      <c r="F45" s="8">
        <v>18</v>
      </c>
      <c r="G45" s="8"/>
      <c r="H45" s="8">
        <v>1789</v>
      </c>
      <c r="I45" s="8">
        <v>1783</v>
      </c>
      <c r="J45" s="8"/>
      <c r="K45" s="8">
        <v>1503</v>
      </c>
      <c r="L45" s="8">
        <v>826</v>
      </c>
      <c r="M45" s="8"/>
    </row>
    <row r="46" spans="1:13" ht="15.75">
      <c r="A46" s="1" t="s">
        <v>40</v>
      </c>
      <c r="B46" s="8">
        <v>4778</v>
      </c>
      <c r="C46" s="8">
        <f t="shared" si="4"/>
        <v>3243</v>
      </c>
      <c r="D46" s="8"/>
      <c r="E46" s="8">
        <v>22</v>
      </c>
      <c r="F46" s="8">
        <v>20</v>
      </c>
      <c r="G46" s="8"/>
      <c r="H46" s="8">
        <v>2108</v>
      </c>
      <c r="I46" s="8">
        <v>2072</v>
      </c>
      <c r="J46" s="8"/>
      <c r="K46" s="8">
        <v>2648</v>
      </c>
      <c r="L46" s="8">
        <v>1151</v>
      </c>
      <c r="M46" s="8"/>
    </row>
    <row r="47" spans="1:13" ht="15.75">
      <c r="A47" s="1" t="s">
        <v>41</v>
      </c>
      <c r="B47" s="8">
        <v>9810</v>
      </c>
      <c r="C47" s="8">
        <f aca="true" t="shared" si="5" ref="C47:C52">F47+I47+L47</f>
        <v>6878</v>
      </c>
      <c r="D47" s="8"/>
      <c r="E47" s="8">
        <v>28</v>
      </c>
      <c r="F47" s="8">
        <v>35</v>
      </c>
      <c r="G47" s="8"/>
      <c r="H47" s="8">
        <v>4214</v>
      </c>
      <c r="I47" s="8">
        <v>4191</v>
      </c>
      <c r="J47" s="8"/>
      <c r="K47" s="8">
        <v>5568</v>
      </c>
      <c r="L47" s="8">
        <v>2652</v>
      </c>
      <c r="M47" s="8"/>
    </row>
    <row r="48" spans="1:13" ht="15.75">
      <c r="A48" s="1" t="s">
        <v>42</v>
      </c>
      <c r="B48" s="8">
        <v>2437</v>
      </c>
      <c r="C48" s="8">
        <f t="shared" si="5"/>
        <v>1460</v>
      </c>
      <c r="D48" s="8"/>
      <c r="E48" s="8">
        <v>15</v>
      </c>
      <c r="F48" s="8">
        <v>16</v>
      </c>
      <c r="G48" s="8"/>
      <c r="H48" s="8">
        <v>815</v>
      </c>
      <c r="I48" s="8">
        <v>829</v>
      </c>
      <c r="J48" s="8"/>
      <c r="K48" s="8">
        <v>1607</v>
      </c>
      <c r="L48" s="8">
        <v>615</v>
      </c>
      <c r="M48" s="8"/>
    </row>
    <row r="49" spans="1:13" ht="15.75">
      <c r="A49" s="1" t="s">
        <v>43</v>
      </c>
      <c r="B49" s="8">
        <v>7886</v>
      </c>
      <c r="C49" s="8">
        <f t="shared" si="5"/>
        <v>5886</v>
      </c>
      <c r="D49" s="8"/>
      <c r="E49" s="8">
        <v>36</v>
      </c>
      <c r="F49" s="8">
        <v>47</v>
      </c>
      <c r="G49" s="8"/>
      <c r="H49" s="8">
        <v>3672</v>
      </c>
      <c r="I49" s="8">
        <v>3701</v>
      </c>
      <c r="J49" s="8"/>
      <c r="K49" s="8">
        <v>4177</v>
      </c>
      <c r="L49" s="8">
        <v>2138</v>
      </c>
      <c r="M49" s="8"/>
    </row>
    <row r="50" spans="1:13" ht="15.75">
      <c r="A50" s="1" t="s">
        <v>44</v>
      </c>
      <c r="B50" s="8">
        <v>645</v>
      </c>
      <c r="C50" s="8">
        <f t="shared" si="5"/>
        <v>420</v>
      </c>
      <c r="D50" s="8"/>
      <c r="E50" s="8">
        <v>6</v>
      </c>
      <c r="F50" s="8">
        <v>12</v>
      </c>
      <c r="G50" s="8"/>
      <c r="H50" s="8">
        <v>260</v>
      </c>
      <c r="I50" s="8">
        <v>253</v>
      </c>
      <c r="J50" s="8"/>
      <c r="K50" s="8">
        <v>379</v>
      </c>
      <c r="L50" s="8">
        <v>155</v>
      </c>
      <c r="M50" s="8"/>
    </row>
    <row r="51" spans="1:13" ht="15.75">
      <c r="A51" s="1" t="s">
        <v>45</v>
      </c>
      <c r="B51" s="8">
        <v>2501</v>
      </c>
      <c r="C51" s="8">
        <f t="shared" si="5"/>
        <v>1596</v>
      </c>
      <c r="D51" s="8"/>
      <c r="E51" s="8">
        <v>22</v>
      </c>
      <c r="F51" s="8">
        <v>19</v>
      </c>
      <c r="G51" s="8"/>
      <c r="H51" s="8">
        <v>1053</v>
      </c>
      <c r="I51" s="8">
        <v>1008</v>
      </c>
      <c r="J51" s="8"/>
      <c r="K51" s="8">
        <v>1427</v>
      </c>
      <c r="L51" s="8">
        <v>569</v>
      </c>
      <c r="M51" s="8"/>
    </row>
    <row r="52" spans="1:13" ht="15.75">
      <c r="A52" s="1" t="s">
        <v>46</v>
      </c>
      <c r="B52" s="8">
        <v>1250</v>
      </c>
      <c r="C52" s="8">
        <f t="shared" si="5"/>
        <v>919</v>
      </c>
      <c r="D52" s="8"/>
      <c r="E52" s="8">
        <v>9</v>
      </c>
      <c r="F52" s="8">
        <v>6</v>
      </c>
      <c r="G52" s="8"/>
      <c r="H52" s="8">
        <v>497</v>
      </c>
      <c r="I52" s="8">
        <v>487</v>
      </c>
      <c r="J52" s="8"/>
      <c r="K52" s="8">
        <v>744</v>
      </c>
      <c r="L52" s="8">
        <v>426</v>
      </c>
      <c r="M52" s="8"/>
    </row>
    <row r="53" spans="1:13" ht="15.75">
      <c r="A53" s="1" t="s">
        <v>47</v>
      </c>
      <c r="B53" s="8">
        <v>2175</v>
      </c>
      <c r="C53" s="8">
        <f aca="true" t="shared" si="6" ref="C53:C58">F53+I53+L53</f>
        <v>1569</v>
      </c>
      <c r="D53" s="8"/>
      <c r="E53" s="8">
        <v>11</v>
      </c>
      <c r="F53" s="8">
        <v>12</v>
      </c>
      <c r="G53" s="8"/>
      <c r="H53" s="8">
        <v>928</v>
      </c>
      <c r="I53" s="8">
        <v>882</v>
      </c>
      <c r="J53" s="8"/>
      <c r="K53" s="8">
        <v>1236</v>
      </c>
      <c r="L53" s="8">
        <v>675</v>
      </c>
      <c r="M53" s="8"/>
    </row>
    <row r="54" spans="1:13" ht="15.75">
      <c r="A54" s="1" t="s">
        <v>48</v>
      </c>
      <c r="B54" s="8">
        <v>2459</v>
      </c>
      <c r="C54" s="8">
        <f t="shared" si="6"/>
        <v>1791</v>
      </c>
      <c r="D54" s="8"/>
      <c r="E54" s="8">
        <v>16</v>
      </c>
      <c r="F54" s="8">
        <v>10</v>
      </c>
      <c r="G54" s="8"/>
      <c r="H54" s="8">
        <v>1153</v>
      </c>
      <c r="I54" s="8">
        <v>1097</v>
      </c>
      <c r="J54" s="8"/>
      <c r="K54" s="8">
        <v>1290</v>
      </c>
      <c r="L54" s="8">
        <v>684</v>
      </c>
      <c r="M54" s="8"/>
    </row>
    <row r="55" spans="1:13" ht="15.75">
      <c r="A55" s="1" t="s">
        <v>49</v>
      </c>
      <c r="B55" s="8">
        <v>6011</v>
      </c>
      <c r="C55" s="8">
        <f t="shared" si="6"/>
        <v>4685</v>
      </c>
      <c r="D55" s="8"/>
      <c r="E55" s="8">
        <v>21</v>
      </c>
      <c r="F55" s="8">
        <v>18</v>
      </c>
      <c r="G55" s="8"/>
      <c r="H55" s="8">
        <v>3040</v>
      </c>
      <c r="I55" s="8">
        <v>2928</v>
      </c>
      <c r="J55" s="8"/>
      <c r="K55" s="8">
        <v>2950</v>
      </c>
      <c r="L55" s="8">
        <v>1739</v>
      </c>
      <c r="M55" s="8"/>
    </row>
    <row r="56" spans="1:13" ht="15.75">
      <c r="A56" s="1" t="s">
        <v>50</v>
      </c>
      <c r="B56" s="8">
        <v>2002</v>
      </c>
      <c r="C56" s="8">
        <f t="shared" si="6"/>
        <v>1321</v>
      </c>
      <c r="D56" s="8"/>
      <c r="E56" s="8">
        <v>18</v>
      </c>
      <c r="F56" s="8">
        <v>13</v>
      </c>
      <c r="G56" s="8"/>
      <c r="H56" s="8">
        <v>724</v>
      </c>
      <c r="I56" s="8">
        <v>689</v>
      </c>
      <c r="J56" s="8"/>
      <c r="K56" s="8">
        <v>1259</v>
      </c>
      <c r="L56" s="8">
        <v>619</v>
      </c>
      <c r="M56" s="8"/>
    </row>
    <row r="57" spans="1:13" ht="15.75">
      <c r="A57" s="1" t="s">
        <v>51</v>
      </c>
      <c r="B57" s="8">
        <v>2777</v>
      </c>
      <c r="C57" s="8">
        <f t="shared" si="6"/>
        <v>2396</v>
      </c>
      <c r="D57" s="8"/>
      <c r="E57" s="8">
        <v>16</v>
      </c>
      <c r="F57" s="8">
        <v>16</v>
      </c>
      <c r="G57" s="8"/>
      <c r="H57" s="8">
        <v>1365</v>
      </c>
      <c r="I57" s="8">
        <v>1424</v>
      </c>
      <c r="J57" s="8"/>
      <c r="K57" s="8">
        <v>1396</v>
      </c>
      <c r="L57" s="8">
        <v>956</v>
      </c>
      <c r="M57" s="8"/>
    </row>
    <row r="58" spans="1:13" ht="15.75">
      <c r="A58" s="1" t="s">
        <v>52</v>
      </c>
      <c r="B58" s="8">
        <v>2573</v>
      </c>
      <c r="C58" s="8">
        <f t="shared" si="6"/>
        <v>1992</v>
      </c>
      <c r="D58" s="8"/>
      <c r="E58" s="8">
        <v>10</v>
      </c>
      <c r="F58" s="8">
        <v>5</v>
      </c>
      <c r="G58" s="8"/>
      <c r="H58" s="8">
        <v>1247</v>
      </c>
      <c r="I58" s="8">
        <v>1223</v>
      </c>
      <c r="J58" s="8"/>
      <c r="K58" s="8">
        <v>1316</v>
      </c>
      <c r="L58" s="8">
        <v>764</v>
      </c>
      <c r="M58" s="8"/>
    </row>
    <row r="59" spans="1:13" ht="15.75">
      <c r="A59" s="1" t="s">
        <v>53</v>
      </c>
      <c r="B59" s="8">
        <v>588</v>
      </c>
      <c r="C59" s="8">
        <f aca="true" t="shared" si="7" ref="C59:C64">F59+I59+L59</f>
        <v>442</v>
      </c>
      <c r="D59" s="8"/>
      <c r="E59" s="8">
        <v>3</v>
      </c>
      <c r="F59" s="8">
        <v>5</v>
      </c>
      <c r="G59" s="8"/>
      <c r="H59" s="8">
        <v>257</v>
      </c>
      <c r="I59" s="8">
        <v>252</v>
      </c>
      <c r="J59" s="8"/>
      <c r="K59" s="8">
        <v>327</v>
      </c>
      <c r="L59" s="8">
        <v>185</v>
      </c>
      <c r="M59" s="8"/>
    </row>
    <row r="60" spans="1:13" ht="15.75">
      <c r="A60" s="1" t="s">
        <v>54</v>
      </c>
      <c r="B60" s="8">
        <v>376</v>
      </c>
      <c r="C60" s="8">
        <f t="shared" si="7"/>
        <v>209</v>
      </c>
      <c r="D60" s="8"/>
      <c r="E60" s="8">
        <v>1</v>
      </c>
      <c r="F60" s="8">
        <v>2</v>
      </c>
      <c r="G60" s="8"/>
      <c r="H60" s="8">
        <v>137</v>
      </c>
      <c r="I60" s="8">
        <v>133</v>
      </c>
      <c r="J60" s="8"/>
      <c r="K60" s="8">
        <v>238</v>
      </c>
      <c r="L60" s="8">
        <v>74</v>
      </c>
      <c r="M60" s="8"/>
    </row>
    <row r="61" spans="1:13" ht="15.75">
      <c r="A61" s="1" t="s">
        <v>55</v>
      </c>
      <c r="B61" s="8">
        <v>874</v>
      </c>
      <c r="C61" s="8">
        <f t="shared" si="7"/>
        <v>413</v>
      </c>
      <c r="D61" s="8"/>
      <c r="E61" s="8">
        <v>7</v>
      </c>
      <c r="F61" s="8">
        <v>6</v>
      </c>
      <c r="G61" s="8"/>
      <c r="H61" s="8">
        <v>423</v>
      </c>
      <c r="I61" s="8">
        <v>263</v>
      </c>
      <c r="J61" s="8"/>
      <c r="K61" s="8">
        <v>445</v>
      </c>
      <c r="L61" s="8">
        <v>144</v>
      </c>
      <c r="M61" s="8"/>
    </row>
    <row r="62" spans="1:13" ht="15.75">
      <c r="A62" s="1" t="s">
        <v>56</v>
      </c>
      <c r="B62" s="8">
        <v>1716</v>
      </c>
      <c r="C62" s="8">
        <f t="shared" si="7"/>
        <v>1218</v>
      </c>
      <c r="D62" s="8"/>
      <c r="E62" s="8">
        <v>15</v>
      </c>
      <c r="F62" s="8">
        <v>13</v>
      </c>
      <c r="G62" s="8"/>
      <c r="H62" s="8">
        <v>739</v>
      </c>
      <c r="I62" s="8">
        <v>710</v>
      </c>
      <c r="J62" s="8"/>
      <c r="K62" s="8">
        <v>963</v>
      </c>
      <c r="L62" s="8">
        <v>495</v>
      </c>
      <c r="M62" s="8"/>
    </row>
    <row r="63" spans="1:13" ht="15.75">
      <c r="A63" s="1" t="s">
        <v>57</v>
      </c>
      <c r="B63" s="8">
        <v>29371</v>
      </c>
      <c r="C63" s="8">
        <f t="shared" si="7"/>
        <v>22356</v>
      </c>
      <c r="D63" s="8"/>
      <c r="E63" s="8">
        <v>155</v>
      </c>
      <c r="F63" s="8">
        <v>155</v>
      </c>
      <c r="G63" s="8"/>
      <c r="H63" s="8">
        <v>15290</v>
      </c>
      <c r="I63" s="8">
        <v>14894</v>
      </c>
      <c r="J63" s="8"/>
      <c r="K63" s="8">
        <v>13926</v>
      </c>
      <c r="L63" s="8">
        <v>7307</v>
      </c>
      <c r="M63" s="8"/>
    </row>
    <row r="64" spans="1:13" ht="15.75">
      <c r="A64" s="1" t="s">
        <v>58</v>
      </c>
      <c r="B64" s="8">
        <v>1603</v>
      </c>
      <c r="C64" s="8">
        <f t="shared" si="7"/>
        <v>1191</v>
      </c>
      <c r="D64" s="8"/>
      <c r="E64" s="8">
        <v>11</v>
      </c>
      <c r="F64" s="8">
        <v>19</v>
      </c>
      <c r="G64" s="8"/>
      <c r="H64" s="8">
        <v>726</v>
      </c>
      <c r="I64" s="8">
        <v>786</v>
      </c>
      <c r="J64" s="8"/>
      <c r="K64" s="8">
        <v>866</v>
      </c>
      <c r="L64" s="8">
        <v>386</v>
      </c>
      <c r="M64" s="8"/>
    </row>
    <row r="65" spans="1:13" ht="15.75">
      <c r="A65" s="1" t="s">
        <v>59</v>
      </c>
      <c r="B65" s="8">
        <v>818</v>
      </c>
      <c r="C65" s="8">
        <f aca="true" t="shared" si="8" ref="C65:C70">F65+I65+L65</f>
        <v>561</v>
      </c>
      <c r="D65" s="8"/>
      <c r="E65" s="8">
        <v>6</v>
      </c>
      <c r="F65" s="8">
        <v>8</v>
      </c>
      <c r="G65" s="8"/>
      <c r="H65" s="8">
        <v>311</v>
      </c>
      <c r="I65" s="8">
        <v>301</v>
      </c>
      <c r="J65" s="8"/>
      <c r="K65" s="8">
        <v>501</v>
      </c>
      <c r="L65" s="8">
        <v>252</v>
      </c>
      <c r="M65" s="8"/>
    </row>
    <row r="66" spans="1:13" ht="15.75">
      <c r="A66" s="1" t="s">
        <v>60</v>
      </c>
      <c r="B66" s="8">
        <v>1878</v>
      </c>
      <c r="C66" s="8">
        <f t="shared" si="8"/>
        <v>1176</v>
      </c>
      <c r="D66" s="8"/>
      <c r="E66" s="8">
        <v>7</v>
      </c>
      <c r="F66" s="8">
        <v>9</v>
      </c>
      <c r="G66" s="8"/>
      <c r="H66" s="8">
        <v>684</v>
      </c>
      <c r="I66" s="8">
        <v>680</v>
      </c>
      <c r="J66" s="8"/>
      <c r="K66" s="8">
        <v>1188</v>
      </c>
      <c r="L66" s="8">
        <v>487</v>
      </c>
      <c r="M66" s="8"/>
    </row>
    <row r="67" spans="1:13" ht="15.75">
      <c r="A67" s="1" t="s">
        <v>61</v>
      </c>
      <c r="B67" s="8">
        <v>3662</v>
      </c>
      <c r="C67" s="8">
        <f t="shared" si="8"/>
        <v>2794</v>
      </c>
      <c r="D67" s="8"/>
      <c r="E67" s="8">
        <v>23</v>
      </c>
      <c r="F67" s="8">
        <v>23</v>
      </c>
      <c r="G67" s="8"/>
      <c r="H67" s="8">
        <v>1726</v>
      </c>
      <c r="I67" s="8">
        <v>1760</v>
      </c>
      <c r="J67" s="8"/>
      <c r="K67" s="8">
        <v>1914</v>
      </c>
      <c r="L67" s="8">
        <v>1011</v>
      </c>
      <c r="M67" s="8"/>
    </row>
    <row r="68" spans="1:13" ht="15.75">
      <c r="A68" s="1" t="s">
        <v>62</v>
      </c>
      <c r="B68" s="8">
        <v>1595</v>
      </c>
      <c r="C68" s="8">
        <f t="shared" si="8"/>
        <v>1050</v>
      </c>
      <c r="D68" s="8"/>
      <c r="E68" s="8">
        <v>6</v>
      </c>
      <c r="F68" s="8">
        <v>10</v>
      </c>
      <c r="G68" s="8"/>
      <c r="H68" s="8">
        <v>661</v>
      </c>
      <c r="I68" s="8">
        <v>642</v>
      </c>
      <c r="J68" s="8"/>
      <c r="K68" s="8">
        <v>927</v>
      </c>
      <c r="L68" s="8">
        <v>398</v>
      </c>
      <c r="M68" s="8"/>
    </row>
    <row r="69" spans="1:13" ht="15.75">
      <c r="A69" s="1" t="s">
        <v>63</v>
      </c>
      <c r="B69" s="8">
        <v>1022</v>
      </c>
      <c r="C69" s="8">
        <f t="shared" si="8"/>
        <v>698</v>
      </c>
      <c r="D69" s="8"/>
      <c r="E69" s="8">
        <v>10</v>
      </c>
      <c r="F69" s="8">
        <v>8</v>
      </c>
      <c r="G69" s="8"/>
      <c r="H69" s="8">
        <v>441</v>
      </c>
      <c r="I69" s="8">
        <v>410</v>
      </c>
      <c r="J69" s="8"/>
      <c r="K69" s="8">
        <v>570</v>
      </c>
      <c r="L69" s="8">
        <v>280</v>
      </c>
      <c r="M69" s="8"/>
    </row>
    <row r="70" spans="1:13" ht="15.75">
      <c r="A70" s="1" t="s">
        <v>64</v>
      </c>
      <c r="B70" s="8">
        <v>1446</v>
      </c>
      <c r="C70" s="8">
        <f t="shared" si="8"/>
        <v>998</v>
      </c>
      <c r="D70" s="8"/>
      <c r="E70" s="8">
        <v>15</v>
      </c>
      <c r="F70" s="8">
        <v>12</v>
      </c>
      <c r="G70" s="8"/>
      <c r="H70" s="8">
        <v>600</v>
      </c>
      <c r="I70" s="1">
        <v>583</v>
      </c>
      <c r="J70" s="8"/>
      <c r="K70" s="8">
        <v>831</v>
      </c>
      <c r="L70" s="8">
        <v>403</v>
      </c>
      <c r="M70" s="8"/>
    </row>
    <row r="71" spans="1:13" ht="15.75">
      <c r="A71" s="1" t="s">
        <v>65</v>
      </c>
      <c r="B71" s="8">
        <v>16857</v>
      </c>
      <c r="C71" s="8">
        <f>F71+I71+L71</f>
        <v>13612</v>
      </c>
      <c r="D71" s="8"/>
      <c r="E71" s="8">
        <v>61</v>
      </c>
      <c r="F71" s="8">
        <v>52</v>
      </c>
      <c r="G71" s="8"/>
      <c r="H71" s="8">
        <v>8509</v>
      </c>
      <c r="I71" s="8">
        <v>8040</v>
      </c>
      <c r="J71" s="8"/>
      <c r="K71" s="8">
        <v>8288</v>
      </c>
      <c r="L71" s="8">
        <v>5520</v>
      </c>
      <c r="M71" s="8"/>
    </row>
    <row r="72" spans="1:13" ht="15.75">
      <c r="A72" s="1" t="s">
        <v>66</v>
      </c>
      <c r="B72" s="8">
        <v>859</v>
      </c>
      <c r="C72" s="8">
        <f>F72+I72+L72</f>
        <v>543</v>
      </c>
      <c r="D72" s="8"/>
      <c r="E72" s="8">
        <v>9</v>
      </c>
      <c r="F72" s="8">
        <v>8</v>
      </c>
      <c r="G72" s="8"/>
      <c r="H72" s="8">
        <v>302</v>
      </c>
      <c r="I72" s="8">
        <v>299</v>
      </c>
      <c r="J72" s="8"/>
      <c r="K72" s="8">
        <v>549</v>
      </c>
      <c r="L72" s="8">
        <v>236</v>
      </c>
      <c r="M72" s="8"/>
    </row>
    <row r="73" spans="1:13" ht="15.75">
      <c r="A73" s="1" t="s">
        <v>67</v>
      </c>
      <c r="B73" s="8">
        <v>235</v>
      </c>
      <c r="C73" s="8">
        <f>F73+I73+L73</f>
        <v>217</v>
      </c>
      <c r="D73" s="8"/>
      <c r="E73" s="8">
        <v>4</v>
      </c>
      <c r="F73" s="7">
        <v>3</v>
      </c>
      <c r="G73" s="8"/>
      <c r="H73" s="8">
        <v>126</v>
      </c>
      <c r="I73" s="8">
        <v>117</v>
      </c>
      <c r="J73" s="8"/>
      <c r="K73" s="8">
        <v>104</v>
      </c>
      <c r="L73" s="8">
        <v>97</v>
      </c>
      <c r="M73" s="8"/>
    </row>
    <row r="74" spans="1:13" ht="15.75">
      <c r="A74" s="1"/>
      <c r="B74" s="8"/>
      <c r="C74" s="8"/>
      <c r="D74" s="8"/>
      <c r="E74" s="8"/>
      <c r="F74" s="7"/>
      <c r="G74" s="8"/>
      <c r="H74" s="8"/>
      <c r="I74" s="8"/>
      <c r="J74" s="8"/>
      <c r="K74" s="8"/>
      <c r="L74" s="8"/>
      <c r="M74" s="8"/>
    </row>
    <row r="75" spans="1:13" ht="15.75">
      <c r="A75" s="1" t="s">
        <v>71</v>
      </c>
      <c r="B75" s="8">
        <v>623</v>
      </c>
      <c r="C75" s="8">
        <f>+I75+L75</f>
        <v>1100</v>
      </c>
      <c r="D75" s="8"/>
      <c r="E75" s="7">
        <v>0</v>
      </c>
      <c r="F75" s="7">
        <v>0</v>
      </c>
      <c r="G75" s="8"/>
      <c r="H75" s="8">
        <v>139</v>
      </c>
      <c r="I75" s="8">
        <v>287</v>
      </c>
      <c r="J75" s="8"/>
      <c r="K75" s="8">
        <v>484</v>
      </c>
      <c r="L75" s="8">
        <v>813</v>
      </c>
      <c r="M75" s="8"/>
    </row>
    <row r="76" spans="1:13" ht="15.75">
      <c r="A76" s="3"/>
      <c r="B76" s="14"/>
      <c r="C76" s="14" t="s">
        <v>72</v>
      </c>
      <c r="D76" s="14"/>
      <c r="E76" s="14"/>
      <c r="F76" s="14"/>
      <c r="G76" s="14"/>
      <c r="H76" s="14"/>
      <c r="I76" s="14"/>
      <c r="J76" s="14"/>
      <c r="K76" s="14"/>
      <c r="L76" s="14"/>
      <c r="M76" s="8"/>
    </row>
    <row r="77" spans="1:13" ht="47.25" customHeight="1">
      <c r="A77" s="31" t="s">
        <v>94</v>
      </c>
      <c r="B77" s="31"/>
      <c r="C77" s="31"/>
      <c r="D77" s="31"/>
      <c r="E77" s="31"/>
      <c r="F77" s="31"/>
      <c r="G77" s="31"/>
      <c r="H77" s="31"/>
      <c r="I77" s="31"/>
      <c r="J77" s="31"/>
      <c r="K77" s="31"/>
      <c r="L77" s="31"/>
      <c r="M77" s="8"/>
    </row>
    <row r="78" spans="1:13" ht="15.75">
      <c r="A78" s="21"/>
      <c r="B78" s="22"/>
      <c r="C78" s="22"/>
      <c r="D78" s="22"/>
      <c r="E78" s="22"/>
      <c r="F78" s="22"/>
      <c r="G78" s="22"/>
      <c r="H78" s="22"/>
      <c r="I78" s="22"/>
      <c r="J78" s="22"/>
      <c r="K78" s="22"/>
      <c r="L78" s="22"/>
      <c r="M78" s="8"/>
    </row>
    <row r="79" spans="1:13" ht="15.75">
      <c r="A79" s="21" t="s">
        <v>95</v>
      </c>
      <c r="B79" s="22"/>
      <c r="C79" s="22"/>
      <c r="D79" s="22"/>
      <c r="E79" s="22"/>
      <c r="F79" s="22"/>
      <c r="G79" s="22"/>
      <c r="H79" s="22"/>
      <c r="I79" s="22"/>
      <c r="J79" s="22"/>
      <c r="K79" s="22"/>
      <c r="L79" s="22"/>
      <c r="M79" s="8"/>
    </row>
    <row r="80" spans="1:13" ht="41.25" customHeight="1">
      <c r="A80" s="32" t="s">
        <v>78</v>
      </c>
      <c r="B80" s="32"/>
      <c r="C80" s="32"/>
      <c r="D80" s="32"/>
      <c r="E80" s="32"/>
      <c r="F80" s="32"/>
      <c r="G80" s="32"/>
      <c r="H80" s="32"/>
      <c r="I80" s="32"/>
      <c r="J80" s="32"/>
      <c r="K80" s="32"/>
      <c r="L80" s="32"/>
      <c r="M80" s="8"/>
    </row>
    <row r="81" spans="1:13" ht="15.75">
      <c r="A81" s="21"/>
      <c r="B81" s="21"/>
      <c r="C81" s="21"/>
      <c r="D81" s="21"/>
      <c r="E81" s="21"/>
      <c r="F81" s="21"/>
      <c r="G81" s="21"/>
      <c r="H81" s="21"/>
      <c r="I81" s="21"/>
      <c r="J81" s="21"/>
      <c r="K81" s="21"/>
      <c r="L81" s="21"/>
      <c r="M81" s="8"/>
    </row>
    <row r="82" spans="1:13" ht="15.75">
      <c r="A82" s="21" t="s">
        <v>68</v>
      </c>
      <c r="B82" s="26"/>
      <c r="C82" s="26"/>
      <c r="D82" s="27"/>
      <c r="E82" s="27"/>
      <c r="F82" s="27"/>
      <c r="G82" s="27"/>
      <c r="H82" s="27"/>
      <c r="I82" s="27"/>
      <c r="J82" s="21"/>
      <c r="K82" s="21"/>
      <c r="L82" s="21"/>
      <c r="M82" s="8"/>
    </row>
    <row r="83" spans="1:13" ht="15.75">
      <c r="A83" s="1"/>
      <c r="B83" s="8"/>
      <c r="C83" s="8"/>
      <c r="D83" s="8"/>
      <c r="E83" s="8"/>
      <c r="F83" s="8"/>
      <c r="G83" s="8"/>
      <c r="H83" s="8"/>
      <c r="I83" s="8"/>
      <c r="J83" s="8"/>
      <c r="K83" s="8"/>
      <c r="L83" s="8"/>
      <c r="M83" s="8"/>
    </row>
    <row r="84" spans="1:13" ht="15.75">
      <c r="A84" s="1"/>
      <c r="B84" s="8"/>
      <c r="C84" s="8"/>
      <c r="D84" s="8"/>
      <c r="E84" s="8"/>
      <c r="F84" s="8"/>
      <c r="G84" s="8"/>
      <c r="H84" s="8"/>
      <c r="I84" s="8"/>
      <c r="J84" s="8"/>
      <c r="K84" s="8"/>
      <c r="L84" s="8"/>
      <c r="M84" s="8"/>
    </row>
    <row r="85" spans="1:13" ht="15.75">
      <c r="A85" s="1"/>
      <c r="B85" s="8"/>
      <c r="C85" s="8"/>
      <c r="D85" s="8"/>
      <c r="E85" s="8"/>
      <c r="F85" s="8"/>
      <c r="G85" s="8"/>
      <c r="H85" s="8"/>
      <c r="I85" s="8"/>
      <c r="J85" s="8"/>
      <c r="K85" s="8"/>
      <c r="L85" s="8"/>
      <c r="M85" s="8"/>
    </row>
    <row r="86" spans="1:13" ht="15.75">
      <c r="A86" s="1"/>
      <c r="B86" s="1"/>
      <c r="C86" s="1"/>
      <c r="D86" s="1"/>
      <c r="E86" s="1"/>
      <c r="F86" s="1"/>
      <c r="G86" s="1"/>
      <c r="H86" s="1"/>
      <c r="I86" s="1"/>
      <c r="J86" s="1"/>
      <c r="K86" s="1"/>
      <c r="L86" s="1"/>
      <c r="M86" s="1"/>
    </row>
    <row r="87" spans="1:13" ht="15.75">
      <c r="A87" s="1"/>
      <c r="B87" s="1"/>
      <c r="C87" s="1"/>
      <c r="D87" s="1"/>
      <c r="E87" s="1"/>
      <c r="F87" s="1"/>
      <c r="G87" s="1"/>
      <c r="H87" s="1"/>
      <c r="I87" s="1"/>
      <c r="J87" s="1"/>
      <c r="K87" s="1"/>
      <c r="L87" s="1"/>
      <c r="M87" s="1"/>
    </row>
    <row r="88" spans="1:13" ht="15.75">
      <c r="A88" s="33"/>
      <c r="B88" s="1"/>
      <c r="C88" s="1"/>
      <c r="D88" s="1"/>
      <c r="E88" s="1"/>
      <c r="F88" s="1"/>
      <c r="G88" s="1"/>
      <c r="H88" s="1"/>
      <c r="I88" s="1"/>
      <c r="J88" s="1"/>
      <c r="K88" s="1"/>
      <c r="L88" s="1"/>
      <c r="M88" s="1"/>
    </row>
    <row r="89" spans="1:13" ht="15.75">
      <c r="A89" s="1"/>
      <c r="B89" s="1"/>
      <c r="C89" s="1"/>
      <c r="D89" s="1"/>
      <c r="E89" s="1"/>
      <c r="F89" s="1"/>
      <c r="G89" s="1"/>
      <c r="H89" s="1"/>
      <c r="I89" s="1"/>
      <c r="J89" s="1"/>
      <c r="K89" s="1"/>
      <c r="L89" s="1"/>
      <c r="M89" s="1"/>
    </row>
    <row r="90" spans="1:13" ht="15.75">
      <c r="A90" s="16"/>
      <c r="B90" s="1"/>
      <c r="C90" s="1"/>
      <c r="D90" s="1"/>
      <c r="E90" s="1"/>
      <c r="F90" s="1"/>
      <c r="G90" s="1"/>
      <c r="H90" s="1"/>
      <c r="I90" s="1"/>
      <c r="J90" s="1"/>
      <c r="K90" s="1"/>
      <c r="L90" s="1"/>
      <c r="M90" s="1"/>
    </row>
    <row r="91" spans="1:13" ht="15.75">
      <c r="A91" s="1"/>
      <c r="B91" s="1"/>
      <c r="C91" s="1"/>
      <c r="D91" s="1"/>
      <c r="E91" s="1"/>
      <c r="F91" s="1"/>
      <c r="G91" s="1"/>
      <c r="H91" s="1"/>
      <c r="I91" s="1"/>
      <c r="J91" s="1"/>
      <c r="K91" s="1"/>
      <c r="L91" s="1"/>
      <c r="M91" s="1"/>
    </row>
    <row r="92" spans="1:13" ht="15.75">
      <c r="A92" s="1"/>
      <c r="B92" s="1"/>
      <c r="C92" s="1"/>
      <c r="D92" s="1"/>
      <c r="E92" s="1"/>
      <c r="F92" s="1"/>
      <c r="G92" s="1"/>
      <c r="H92" s="1"/>
      <c r="I92" s="1"/>
      <c r="J92" s="1"/>
      <c r="K92" s="1"/>
      <c r="L92" s="1"/>
      <c r="M92" s="1"/>
    </row>
    <row r="93" spans="1:13" ht="15.75">
      <c r="A93" s="1"/>
      <c r="B93" s="9"/>
      <c r="C93" s="9"/>
      <c r="D93" s="11"/>
      <c r="E93" s="11"/>
      <c r="F93" s="11"/>
      <c r="G93" s="11"/>
      <c r="H93" s="11"/>
      <c r="I93" s="11"/>
      <c r="J93" s="1"/>
      <c r="K93" s="1"/>
      <c r="L93" s="1"/>
      <c r="M93" s="1"/>
    </row>
    <row r="94" spans="1:13" ht="15.75">
      <c r="A94" s="1"/>
      <c r="B94" s="9"/>
      <c r="C94" s="9"/>
      <c r="D94" s="11"/>
      <c r="E94" s="11"/>
      <c r="F94" s="11"/>
      <c r="G94" s="11"/>
      <c r="H94" s="11"/>
      <c r="I94" s="11"/>
      <c r="J94" s="1"/>
      <c r="K94" s="1"/>
      <c r="L94" s="1"/>
      <c r="M94" s="1"/>
    </row>
    <row r="95" spans="1:13" ht="15.75">
      <c r="A95" s="1"/>
      <c r="B95" s="9"/>
      <c r="C95" s="9"/>
      <c r="D95" s="11"/>
      <c r="E95" s="11"/>
      <c r="F95" s="11"/>
      <c r="G95" s="11"/>
      <c r="H95" s="11"/>
      <c r="I95" s="11"/>
      <c r="J95" s="1"/>
      <c r="K95" s="1"/>
      <c r="L95" s="1"/>
      <c r="M95" s="1"/>
    </row>
    <row r="96" spans="1:13" ht="15.75">
      <c r="A96" s="1"/>
      <c r="B96" s="9"/>
      <c r="C96" s="9"/>
      <c r="D96" s="11"/>
      <c r="E96" s="11"/>
      <c r="F96" s="11"/>
      <c r="G96" s="11"/>
      <c r="H96" s="11"/>
      <c r="I96" s="11"/>
      <c r="J96" s="1"/>
      <c r="K96" s="1"/>
      <c r="L96" s="1"/>
      <c r="M96" s="1"/>
    </row>
  </sheetData>
  <sheetProtection/>
  <mergeCells count="6">
    <mergeCell ref="B4:C4"/>
    <mergeCell ref="E4:F4"/>
    <mergeCell ref="H4:I4"/>
    <mergeCell ref="K4:L4"/>
    <mergeCell ref="A77:L77"/>
    <mergeCell ref="A80:L80"/>
  </mergeCells>
  <printOptions/>
  <pageMargins left="0.7" right="0.7" top="0.75" bottom="0.75" header="0.3" footer="0.3"/>
  <pageSetup horizontalDpi="90" verticalDpi="90" orientation="portrait" r:id="rId1"/>
</worksheet>
</file>

<file path=xl/worksheets/sheet9.xml><?xml version="1.0" encoding="utf-8"?>
<worksheet xmlns="http://schemas.openxmlformats.org/spreadsheetml/2006/main" xmlns:r="http://schemas.openxmlformats.org/officeDocument/2006/relationships">
  <dimension ref="A1:L96"/>
  <sheetViews>
    <sheetView zoomScalePageLayoutView="0" workbookViewId="0" topLeftCell="A1">
      <selection activeCell="A1" sqref="A1"/>
    </sheetView>
  </sheetViews>
  <sheetFormatPr defaultColWidth="8.88671875" defaultRowHeight="15.75"/>
  <cols>
    <col min="1" max="1" width="25.77734375" style="0" customWidth="1"/>
    <col min="2" max="3" width="10.77734375" style="0" customWidth="1"/>
    <col min="4" max="4" width="2.77734375" style="0" customWidth="1"/>
    <col min="5" max="6" width="10.77734375" style="0" customWidth="1"/>
    <col min="7" max="7" width="2.77734375" style="0" customWidth="1"/>
    <col min="8" max="9" width="10.77734375" style="0" customWidth="1"/>
    <col min="10" max="10" width="2.77734375" style="0" customWidth="1"/>
    <col min="11" max="16384" width="10.77734375" style="0" customWidth="1"/>
  </cols>
  <sheetData>
    <row r="1" spans="1:12" ht="20.25">
      <c r="A1" s="12" t="s">
        <v>0</v>
      </c>
      <c r="B1" s="1"/>
      <c r="C1" s="2"/>
      <c r="D1" s="1"/>
      <c r="E1" s="1"/>
      <c r="F1" s="1"/>
      <c r="G1" s="1"/>
      <c r="H1" s="1"/>
      <c r="I1" s="1"/>
      <c r="J1" s="1"/>
      <c r="K1" s="1"/>
      <c r="L1" s="1"/>
    </row>
    <row r="2" spans="1:12" ht="20.25">
      <c r="A2" s="12" t="s">
        <v>99</v>
      </c>
      <c r="B2" s="1"/>
      <c r="C2" s="2"/>
      <c r="D2" s="1"/>
      <c r="E2" s="1"/>
      <c r="F2" s="1"/>
      <c r="G2" s="1"/>
      <c r="H2" s="1"/>
      <c r="I2" s="1"/>
      <c r="J2" s="1"/>
      <c r="K2" s="1"/>
      <c r="L2" s="1"/>
    </row>
    <row r="3" spans="1:12" ht="15.75">
      <c r="A3" s="1"/>
      <c r="B3" s="1"/>
      <c r="C3" s="2"/>
      <c r="D3" s="1"/>
      <c r="E3" s="1"/>
      <c r="F3" s="1"/>
      <c r="G3" s="1"/>
      <c r="H3" s="1"/>
      <c r="I3" s="1"/>
      <c r="J3" s="1"/>
      <c r="K3" s="1"/>
      <c r="L3" s="1"/>
    </row>
    <row r="4" spans="1:12" ht="17.25">
      <c r="A4" s="3"/>
      <c r="B4" s="30" t="s">
        <v>93</v>
      </c>
      <c r="C4" s="30"/>
      <c r="D4" s="3"/>
      <c r="E4" s="30" t="s">
        <v>69</v>
      </c>
      <c r="F4" s="30"/>
      <c r="G4" s="3"/>
      <c r="H4" s="30" t="s">
        <v>70</v>
      </c>
      <c r="I4" s="30"/>
      <c r="J4" s="3"/>
      <c r="K4" s="30" t="s">
        <v>92</v>
      </c>
      <c r="L4" s="30"/>
    </row>
    <row r="5" spans="1:12" ht="29.25">
      <c r="A5" s="4" t="s">
        <v>1</v>
      </c>
      <c r="B5" s="17" t="s">
        <v>100</v>
      </c>
      <c r="C5" s="5">
        <v>2002</v>
      </c>
      <c r="D5" s="4"/>
      <c r="E5" s="17" t="s">
        <v>100</v>
      </c>
      <c r="F5" s="5">
        <v>2002</v>
      </c>
      <c r="G5" s="4"/>
      <c r="H5" s="17" t="s">
        <v>100</v>
      </c>
      <c r="I5" s="5">
        <v>2002</v>
      </c>
      <c r="J5" s="4"/>
      <c r="K5" s="17" t="s">
        <v>100</v>
      </c>
      <c r="L5" s="5">
        <v>2002</v>
      </c>
    </row>
    <row r="6" spans="1:12" ht="15.75">
      <c r="A6" s="1"/>
      <c r="B6" s="1"/>
      <c r="C6" s="2"/>
      <c r="D6" s="1"/>
      <c r="E6" s="1"/>
      <c r="F6" s="1"/>
      <c r="G6" s="1"/>
      <c r="H6" s="6"/>
      <c r="I6" s="1"/>
      <c r="J6" s="1"/>
      <c r="K6" s="1"/>
      <c r="L6" s="1"/>
    </row>
    <row r="7" spans="1:12" ht="15.75">
      <c r="A7" s="1" t="s">
        <v>2</v>
      </c>
      <c r="B7" s="8">
        <f>+B9+B16</f>
        <v>359551.3333333333</v>
      </c>
      <c r="C7" s="8">
        <f>+C9+C16+C75</f>
        <v>253710</v>
      </c>
      <c r="D7" s="8" t="s">
        <v>3</v>
      </c>
      <c r="E7" s="8">
        <f>+E9+E16</f>
        <v>1420.333333333333</v>
      </c>
      <c r="F7" s="8">
        <f>+F9+F16</f>
        <v>1390</v>
      </c>
      <c r="G7" s="8"/>
      <c r="H7" s="8">
        <f>+H9+H16</f>
        <v>183669.66666666663</v>
      </c>
      <c r="I7" s="8">
        <f>+I9+I16+I75</f>
        <v>179132</v>
      </c>
      <c r="J7" s="8"/>
      <c r="K7" s="8">
        <f>+K9+K16</f>
        <v>175386.33333333334</v>
      </c>
      <c r="L7" s="8">
        <f>+L9+L16+L75</f>
        <v>73188</v>
      </c>
    </row>
    <row r="8" spans="1:12" ht="15.75">
      <c r="A8" s="1"/>
      <c r="B8" s="8"/>
      <c r="C8" s="8"/>
      <c r="D8" s="8"/>
      <c r="E8" s="8"/>
      <c r="F8" s="8"/>
      <c r="G8" s="8" t="s">
        <v>3</v>
      </c>
      <c r="H8" s="8"/>
      <c r="I8" s="8"/>
      <c r="J8" s="8" t="s">
        <v>3</v>
      </c>
      <c r="K8" s="8"/>
      <c r="L8" s="8"/>
    </row>
    <row r="9" spans="1:12" ht="15.75">
      <c r="A9" s="1" t="s">
        <v>4</v>
      </c>
      <c r="B9" s="8">
        <f>SUM(B10:B14)</f>
        <v>116684</v>
      </c>
      <c r="C9" s="8">
        <f>SUM(C10:C14)</f>
        <v>93312</v>
      </c>
      <c r="D9" s="8" t="s">
        <v>3</v>
      </c>
      <c r="E9" s="8">
        <f>SUM(E10:E14)</f>
        <v>357.3333333333333</v>
      </c>
      <c r="F9" s="8">
        <f>SUM(F10:F14)</f>
        <v>328</v>
      </c>
      <c r="G9" s="8"/>
      <c r="H9" s="8">
        <f>SUM(H10:H14)</f>
        <v>81090.33333333333</v>
      </c>
      <c r="I9" s="8">
        <f>SUM(I10:I14)</f>
        <v>75528</v>
      </c>
      <c r="J9" s="8"/>
      <c r="K9" s="8">
        <f>SUM(K10:K14)</f>
        <v>37003</v>
      </c>
      <c r="L9" s="8">
        <f>SUM(L10:L14)</f>
        <v>17456</v>
      </c>
    </row>
    <row r="10" spans="1:12" ht="15.75">
      <c r="A10" s="1" t="s">
        <v>5</v>
      </c>
      <c r="B10" s="8">
        <f>(17950+19953+17864)/3</f>
        <v>18589</v>
      </c>
      <c r="C10" s="8">
        <f>F10+I10+L10</f>
        <v>14653</v>
      </c>
      <c r="D10" s="8"/>
      <c r="E10" s="8">
        <f>(59+49+55)/3</f>
        <v>54.333333333333336</v>
      </c>
      <c r="F10" s="8">
        <v>58</v>
      </c>
      <c r="G10" s="8"/>
      <c r="H10" s="8">
        <f>(11960+13194+12447)/3</f>
        <v>12533.666666666666</v>
      </c>
      <c r="I10" s="8">
        <v>11978</v>
      </c>
      <c r="J10" s="8"/>
      <c r="K10" s="8">
        <f>(5931+6710+5362)/3</f>
        <v>6001</v>
      </c>
      <c r="L10" s="8">
        <v>2617</v>
      </c>
    </row>
    <row r="11" spans="1:12" ht="15.75">
      <c r="A11" s="1" t="s">
        <v>6</v>
      </c>
      <c r="B11" s="8">
        <f>(35782+38151+33370)/3</f>
        <v>35767.666666666664</v>
      </c>
      <c r="C11" s="8">
        <f aca="true" t="shared" si="0" ref="C11:C66">F11+I11+L11</f>
        <v>27736</v>
      </c>
      <c r="D11" s="8"/>
      <c r="E11" s="8">
        <f>(114+105+111)/3</f>
        <v>110</v>
      </c>
      <c r="F11" s="8">
        <v>92</v>
      </c>
      <c r="G11" s="8"/>
      <c r="H11" s="8">
        <f>(26511+27190+25229)/3</f>
        <v>26310</v>
      </c>
      <c r="I11" s="8">
        <v>23698</v>
      </c>
      <c r="J11" s="8"/>
      <c r="K11" s="8">
        <f>(9157+10856+8030)/3</f>
        <v>9347.666666666666</v>
      </c>
      <c r="L11" s="8">
        <v>3946</v>
      </c>
    </row>
    <row r="12" spans="1:12" ht="15.75">
      <c r="A12" s="1" t="s">
        <v>7</v>
      </c>
      <c r="B12" s="8">
        <f>(22956+24609+21646)/3</f>
        <v>23070.333333333332</v>
      </c>
      <c r="C12" s="8">
        <f t="shared" si="0"/>
        <v>16714</v>
      </c>
      <c r="D12" s="8"/>
      <c r="E12" s="8">
        <f>(66+70+55)/3</f>
        <v>63.666666666666664</v>
      </c>
      <c r="F12" s="8">
        <v>50</v>
      </c>
      <c r="G12" s="8"/>
      <c r="H12" s="8">
        <f>(14679+14624+14058)/3</f>
        <v>14453.666666666666</v>
      </c>
      <c r="I12" s="8">
        <v>13340</v>
      </c>
      <c r="J12" s="8"/>
      <c r="K12" s="8">
        <f>(8211+9915+7533)/3</f>
        <v>8553</v>
      </c>
      <c r="L12" s="8">
        <v>3324</v>
      </c>
    </row>
    <row r="13" spans="1:12" ht="15.75">
      <c r="A13" s="1" t="s">
        <v>8</v>
      </c>
      <c r="B13" s="8">
        <f>(28274+34697+36578)/3</f>
        <v>33183</v>
      </c>
      <c r="C13" s="8">
        <f t="shared" si="0"/>
        <v>28911</v>
      </c>
      <c r="D13" s="8"/>
      <c r="E13" s="8">
        <f>(118+100+104)/3</f>
        <v>107.33333333333333</v>
      </c>
      <c r="F13" s="8">
        <v>108</v>
      </c>
      <c r="G13" s="8"/>
      <c r="H13" s="8">
        <f>(23875+24459+23456)/3</f>
        <v>23930</v>
      </c>
      <c r="I13" s="8">
        <v>22655</v>
      </c>
      <c r="J13" s="8"/>
      <c r="K13" s="8">
        <f>(10704+12019+10014)/3</f>
        <v>10912.333333333334</v>
      </c>
      <c r="L13" s="8">
        <v>6148</v>
      </c>
    </row>
    <row r="14" spans="1:12" ht="15.75">
      <c r="A14" s="1" t="s">
        <v>9</v>
      </c>
      <c r="B14" s="8">
        <f>(5781+6258+6183)/3</f>
        <v>6074</v>
      </c>
      <c r="C14" s="8">
        <f t="shared" si="0"/>
        <v>5298</v>
      </c>
      <c r="D14" s="8"/>
      <c r="E14" s="8">
        <f>(15+24+27)/3</f>
        <v>22</v>
      </c>
      <c r="F14" s="8">
        <v>20</v>
      </c>
      <c r="G14" s="8"/>
      <c r="H14" s="8">
        <f>(3808+3805+3976)/3</f>
        <v>3863</v>
      </c>
      <c r="I14" s="8">
        <v>3857</v>
      </c>
      <c r="J14" s="8"/>
      <c r="K14" s="8">
        <f>(1958+2429+2180)/3</f>
        <v>2189</v>
      </c>
      <c r="L14" s="8">
        <v>1421</v>
      </c>
    </row>
    <row r="15" spans="1:12" ht="15.75">
      <c r="A15" s="1"/>
      <c r="B15" s="8"/>
      <c r="C15" s="8"/>
      <c r="D15" s="8"/>
      <c r="E15" s="8"/>
      <c r="F15" s="8"/>
      <c r="G15" s="8"/>
      <c r="H15" s="8"/>
      <c r="I15" s="8"/>
      <c r="J15" s="8"/>
      <c r="K15" s="8"/>
      <c r="L15" s="8"/>
    </row>
    <row r="16" spans="1:12" ht="15.75">
      <c r="A16" s="1" t="s">
        <v>10</v>
      </c>
      <c r="B16" s="8">
        <f>SUM(B17:B73)</f>
        <v>242867.3333333333</v>
      </c>
      <c r="C16" s="8">
        <f t="shared" si="0"/>
        <v>159146</v>
      </c>
      <c r="D16" s="8" t="s">
        <v>3</v>
      </c>
      <c r="E16" s="8">
        <f>SUM(E17:E73)</f>
        <v>1062.9999999999998</v>
      </c>
      <c r="F16" s="8">
        <f>SUM(F17:F73)</f>
        <v>1062</v>
      </c>
      <c r="G16" s="8"/>
      <c r="H16" s="8">
        <f>SUM(H17:H73)</f>
        <v>102579.33333333331</v>
      </c>
      <c r="I16" s="8">
        <f>SUM(I17:I73)</f>
        <v>103317</v>
      </c>
      <c r="J16" s="8"/>
      <c r="K16" s="8">
        <f>SUM(K17:K73)</f>
        <v>138383.33333333334</v>
      </c>
      <c r="L16" s="8">
        <f>SUM(L17:L73)</f>
        <v>54767</v>
      </c>
    </row>
    <row r="17" spans="1:12" ht="15.75">
      <c r="A17" s="1" t="s">
        <v>11</v>
      </c>
      <c r="B17" s="8">
        <f>(7639+8501+6733)/3</f>
        <v>7624.333333333333</v>
      </c>
      <c r="C17" s="8">
        <f t="shared" si="0"/>
        <v>4800</v>
      </c>
      <c r="D17" s="8"/>
      <c r="E17" s="8">
        <f>(14+23+20)/3</f>
        <v>19</v>
      </c>
      <c r="F17" s="8">
        <v>18</v>
      </c>
      <c r="G17" s="8"/>
      <c r="H17" s="8">
        <f>(2979+3138+2816)/3</f>
        <v>2977.6666666666665</v>
      </c>
      <c r="I17" s="8">
        <v>2928</v>
      </c>
      <c r="J17" s="8"/>
      <c r="K17" s="8">
        <f>(4646+5340+3897)/3</f>
        <v>4627.666666666667</v>
      </c>
      <c r="L17" s="8">
        <v>1854</v>
      </c>
    </row>
    <row r="18" spans="1:12" ht="15.75">
      <c r="A18" s="1" t="s">
        <v>12</v>
      </c>
      <c r="B18" s="8">
        <f>(895+890+797)/3</f>
        <v>860.6666666666666</v>
      </c>
      <c r="C18" s="8">
        <f t="shared" si="0"/>
        <v>556</v>
      </c>
      <c r="D18" s="8"/>
      <c r="E18" s="8">
        <f>(13+4+9)/3</f>
        <v>8.666666666666666</v>
      </c>
      <c r="F18" s="8">
        <v>12</v>
      </c>
      <c r="G18" s="8"/>
      <c r="H18" s="8">
        <f>(334+297+288)/3</f>
        <v>306.3333333333333</v>
      </c>
      <c r="I18" s="8">
        <v>322</v>
      </c>
      <c r="J18" s="8"/>
      <c r="K18" s="8">
        <f>(548+589+500)/3</f>
        <v>545.6666666666666</v>
      </c>
      <c r="L18" s="8">
        <v>222</v>
      </c>
    </row>
    <row r="19" spans="1:12" ht="15.75">
      <c r="A19" s="1" t="s">
        <v>13</v>
      </c>
      <c r="B19" s="8">
        <f>(4398+4970+3777)/3</f>
        <v>4381.666666666667</v>
      </c>
      <c r="C19" s="8">
        <f t="shared" si="0"/>
        <v>2360</v>
      </c>
      <c r="D19" s="8"/>
      <c r="E19" s="8">
        <f>(21+19+13)/3</f>
        <v>17.666666666666668</v>
      </c>
      <c r="F19" s="8">
        <v>13</v>
      </c>
      <c r="G19" s="8"/>
      <c r="H19" s="8">
        <f>(1686+1854+1625)/3</f>
        <v>1721.6666666666667</v>
      </c>
      <c r="I19" s="8">
        <v>1616</v>
      </c>
      <c r="J19" s="8"/>
      <c r="K19" s="8">
        <f>(2691+3097+2139)/3</f>
        <v>2642.3333333333335</v>
      </c>
      <c r="L19" s="8">
        <v>731</v>
      </c>
    </row>
    <row r="20" spans="1:12" ht="15.75">
      <c r="A20" s="1" t="s">
        <v>14</v>
      </c>
      <c r="B20" s="8">
        <f>(1287+1606+1267)/3</f>
        <v>1386.6666666666667</v>
      </c>
      <c r="C20" s="8">
        <f t="shared" si="0"/>
        <v>1009</v>
      </c>
      <c r="D20" s="8"/>
      <c r="E20" s="8">
        <f>(14+13+13)/3</f>
        <v>13.333333333333334</v>
      </c>
      <c r="F20" s="8">
        <v>5</v>
      </c>
      <c r="G20" s="8"/>
      <c r="H20" s="8">
        <f>(609+648+565)/3</f>
        <v>607.3333333333334</v>
      </c>
      <c r="I20" s="8">
        <v>655</v>
      </c>
      <c r="J20" s="8"/>
      <c r="K20" s="8">
        <f>(664+945+689)/3</f>
        <v>766</v>
      </c>
      <c r="L20" s="8">
        <v>349</v>
      </c>
    </row>
    <row r="21" spans="1:12" ht="15.75">
      <c r="A21" s="1" t="s">
        <v>15</v>
      </c>
      <c r="B21" s="8">
        <f>(1472+1717+1287)/3</f>
        <v>1492</v>
      </c>
      <c r="C21" s="8">
        <f t="shared" si="0"/>
        <v>892</v>
      </c>
      <c r="D21" s="8"/>
      <c r="E21" s="8">
        <f>(10+10+5)/3</f>
        <v>8.333333333333334</v>
      </c>
      <c r="F21" s="8">
        <v>5</v>
      </c>
      <c r="G21" s="8"/>
      <c r="H21" s="8">
        <f>(618+680+575)/3</f>
        <v>624.3333333333334</v>
      </c>
      <c r="I21" s="8">
        <v>598</v>
      </c>
      <c r="J21" s="8"/>
      <c r="K21" s="8">
        <f>(844+1027+707)/3</f>
        <v>859.3333333333334</v>
      </c>
      <c r="L21" s="8">
        <v>289</v>
      </c>
    </row>
    <row r="22" spans="1:12" ht="15.75">
      <c r="A22" s="1" t="s">
        <v>16</v>
      </c>
      <c r="B22" s="8">
        <f>(2858+3444+2587)/3</f>
        <v>2963</v>
      </c>
      <c r="C22" s="8">
        <f t="shared" si="0"/>
        <v>1617</v>
      </c>
      <c r="D22" s="8"/>
      <c r="E22" s="8">
        <f>(10+18+13)/3</f>
        <v>13.666666666666666</v>
      </c>
      <c r="F22" s="8">
        <v>12</v>
      </c>
      <c r="G22" s="8"/>
      <c r="H22" s="8">
        <f>(1059+1091+1017)/3</f>
        <v>1055.6666666666667</v>
      </c>
      <c r="I22" s="8">
        <v>1076</v>
      </c>
      <c r="J22" s="8"/>
      <c r="K22" s="8">
        <f>(1789+2335+1557)/3</f>
        <v>1893.6666666666667</v>
      </c>
      <c r="L22" s="8">
        <v>529</v>
      </c>
    </row>
    <row r="23" spans="1:12" ht="15.75">
      <c r="A23" s="1" t="s">
        <v>17</v>
      </c>
      <c r="B23" s="8">
        <f>(1552+1652+1327)/3</f>
        <v>1510.3333333333333</v>
      </c>
      <c r="C23" s="8">
        <f t="shared" si="0"/>
        <v>908</v>
      </c>
      <c r="D23" s="8"/>
      <c r="E23" s="8">
        <f>(11+6+6)/3</f>
        <v>7.666666666666667</v>
      </c>
      <c r="F23" s="8">
        <v>7</v>
      </c>
      <c r="G23" s="8"/>
      <c r="H23" s="8">
        <f>(701+690+628)/3</f>
        <v>673</v>
      </c>
      <c r="I23" s="8">
        <v>639</v>
      </c>
      <c r="J23" s="8"/>
      <c r="K23" s="8">
        <f>(840+956+693)/3</f>
        <v>829.6666666666666</v>
      </c>
      <c r="L23" s="8">
        <v>262</v>
      </c>
    </row>
    <row r="24" spans="1:12" ht="15.75">
      <c r="A24" s="1" t="s">
        <v>18</v>
      </c>
      <c r="B24" s="8">
        <f>(1149+1250+1020)/3</f>
        <v>1139.6666666666667</v>
      </c>
      <c r="C24" s="8">
        <f t="shared" si="0"/>
        <v>682</v>
      </c>
      <c r="D24" s="8"/>
      <c r="E24" s="8">
        <f>(8+9+9)/3</f>
        <v>8.666666666666666</v>
      </c>
      <c r="F24" s="8">
        <v>7</v>
      </c>
      <c r="G24" s="8"/>
      <c r="H24" s="8">
        <f>(420+413+396)/3</f>
        <v>409.6666666666667</v>
      </c>
      <c r="I24" s="8">
        <v>384</v>
      </c>
      <c r="J24" s="8"/>
      <c r="K24" s="8">
        <f>(721+828+615)/3</f>
        <v>721.3333333333334</v>
      </c>
      <c r="L24" s="8">
        <v>291</v>
      </c>
    </row>
    <row r="25" spans="1:12" ht="15.75">
      <c r="A25" s="1" t="s">
        <v>19</v>
      </c>
      <c r="B25" s="8">
        <f>(1561+1940+1511)/3</f>
        <v>1670.6666666666667</v>
      </c>
      <c r="C25" s="8">
        <f t="shared" si="0"/>
        <v>1022</v>
      </c>
      <c r="D25" s="8"/>
      <c r="E25" s="8">
        <f>(15+15+13)/3</f>
        <v>14.333333333333334</v>
      </c>
      <c r="F25" s="8">
        <v>8</v>
      </c>
      <c r="G25" s="8"/>
      <c r="H25" s="8">
        <f>(577+603+563)/3</f>
        <v>581</v>
      </c>
      <c r="I25" s="8">
        <v>628</v>
      </c>
      <c r="J25" s="8"/>
      <c r="K25" s="8">
        <f>(969+1322+935)/3</f>
        <v>1075.3333333333333</v>
      </c>
      <c r="L25" s="8">
        <v>386</v>
      </c>
    </row>
    <row r="26" spans="1:12" ht="15.75">
      <c r="A26" s="1" t="s">
        <v>20</v>
      </c>
      <c r="B26" s="8">
        <f>(1412+1492+1239)/3</f>
        <v>1381</v>
      </c>
      <c r="C26" s="8">
        <f t="shared" si="0"/>
        <v>894</v>
      </c>
      <c r="D26" s="8"/>
      <c r="E26" s="8">
        <f>(8+11+3)/3</f>
        <v>7.333333333333333</v>
      </c>
      <c r="F26" s="8">
        <v>12</v>
      </c>
      <c r="G26" s="8"/>
      <c r="H26" s="8">
        <f>(528+485+514)/3</f>
        <v>509</v>
      </c>
      <c r="I26" s="8">
        <v>511</v>
      </c>
      <c r="J26" s="8"/>
      <c r="K26" s="8">
        <f>(876+996+722)/3</f>
        <v>864.6666666666666</v>
      </c>
      <c r="L26" s="8">
        <v>371</v>
      </c>
    </row>
    <row r="27" spans="1:12" ht="15.75">
      <c r="A27" s="1" t="s">
        <v>21</v>
      </c>
      <c r="B27" s="8">
        <f>(1300+1326+1061)/3</f>
        <v>1229</v>
      </c>
      <c r="C27" s="8">
        <f t="shared" si="0"/>
        <v>672</v>
      </c>
      <c r="D27" s="8"/>
      <c r="E27" s="8">
        <f>(8+3+6)/3</f>
        <v>5.666666666666667</v>
      </c>
      <c r="F27" s="8">
        <v>6</v>
      </c>
      <c r="G27" s="8"/>
      <c r="H27" s="8">
        <f>(412+384+378)/3</f>
        <v>391.3333333333333</v>
      </c>
      <c r="I27" s="8">
        <v>424</v>
      </c>
      <c r="J27" s="8"/>
      <c r="K27" s="8">
        <f>(880+939+677)/3</f>
        <v>832</v>
      </c>
      <c r="L27" s="8">
        <v>242</v>
      </c>
    </row>
    <row r="28" spans="1:12" ht="15.75">
      <c r="A28" s="1" t="s">
        <v>22</v>
      </c>
      <c r="B28" s="8">
        <f>(1126+1226+1017)/3</f>
        <v>1123</v>
      </c>
      <c r="C28" s="8">
        <f t="shared" si="0"/>
        <v>669</v>
      </c>
      <c r="D28" s="8"/>
      <c r="E28" s="8">
        <f>(13+14+11)/3</f>
        <v>12.666666666666666</v>
      </c>
      <c r="F28" s="8">
        <v>8</v>
      </c>
      <c r="G28" s="8"/>
      <c r="H28" s="8">
        <f>(394+420+377)/3</f>
        <v>397</v>
      </c>
      <c r="I28" s="8">
        <v>399</v>
      </c>
      <c r="J28" s="8"/>
      <c r="K28" s="8">
        <f>(719+792+636)/3</f>
        <v>715.6666666666666</v>
      </c>
      <c r="L28" s="8">
        <v>262</v>
      </c>
    </row>
    <row r="29" spans="1:12" ht="15.75">
      <c r="A29" s="1" t="s">
        <v>23</v>
      </c>
      <c r="B29" s="8">
        <f>(6577+7041+5921)/3</f>
        <v>6513</v>
      </c>
      <c r="C29" s="8">
        <f t="shared" si="0"/>
        <v>4166</v>
      </c>
      <c r="D29" s="8"/>
      <c r="E29" s="8">
        <f>(29+29+39)/3</f>
        <v>32.333333333333336</v>
      </c>
      <c r="F29" s="8">
        <v>15</v>
      </c>
      <c r="G29" s="8"/>
      <c r="H29" s="8">
        <f>(2818+2755+2639)/3</f>
        <v>2737.3333333333335</v>
      </c>
      <c r="I29" s="8">
        <v>2650</v>
      </c>
      <c r="J29" s="8"/>
      <c r="K29" s="8">
        <f>(3730+4257+3243)/3</f>
        <v>3743.3333333333335</v>
      </c>
      <c r="L29" s="8">
        <v>1501</v>
      </c>
    </row>
    <row r="30" spans="1:12" ht="15.75">
      <c r="A30" s="1" t="s">
        <v>24</v>
      </c>
      <c r="B30" s="8">
        <f>(15052+16917+13941)/3</f>
        <v>15303.333333333334</v>
      </c>
      <c r="C30" s="8">
        <f t="shared" si="0"/>
        <v>11964</v>
      </c>
      <c r="D30" s="8"/>
      <c r="E30" s="8">
        <f>(75+63+76)/3</f>
        <v>71.33333333333333</v>
      </c>
      <c r="F30" s="8">
        <v>60</v>
      </c>
      <c r="G30" s="8"/>
      <c r="H30" s="8">
        <f>(7865+8324+7615)/3</f>
        <v>7934.666666666667</v>
      </c>
      <c r="I30" s="8">
        <v>8135</v>
      </c>
      <c r="J30" s="8"/>
      <c r="K30" s="8">
        <f>(7112+8530+6250)/3</f>
        <v>7297.333333333333</v>
      </c>
      <c r="L30" s="8">
        <v>3769</v>
      </c>
    </row>
    <row r="31" spans="1:12" ht="15.75">
      <c r="A31" s="1" t="s">
        <v>25</v>
      </c>
      <c r="B31" s="8">
        <f>(892+1033+884)/3</f>
        <v>936.3333333333334</v>
      </c>
      <c r="C31" s="8">
        <f t="shared" si="0"/>
        <v>568</v>
      </c>
      <c r="D31" s="8"/>
      <c r="E31" s="8">
        <f>(4+9+8)/3</f>
        <v>7</v>
      </c>
      <c r="F31" s="8">
        <v>7</v>
      </c>
      <c r="G31" s="8"/>
      <c r="H31" s="8">
        <f>(348+324+315)/3</f>
        <v>329</v>
      </c>
      <c r="I31" s="8">
        <v>315</v>
      </c>
      <c r="J31" s="8"/>
      <c r="K31" s="8">
        <f>(540+700+561)/3</f>
        <v>600.3333333333334</v>
      </c>
      <c r="L31" s="8">
        <v>246</v>
      </c>
    </row>
    <row r="32" spans="1:12" ht="15.75">
      <c r="A32" s="1" t="s">
        <v>26</v>
      </c>
      <c r="B32" s="8">
        <f>(1020+1150+919)/3</f>
        <v>1029.6666666666667</v>
      </c>
      <c r="C32" s="8">
        <f t="shared" si="0"/>
        <v>613</v>
      </c>
      <c r="D32" s="8"/>
      <c r="E32" s="8">
        <f>(7+9+7)/3</f>
        <v>7.666666666666667</v>
      </c>
      <c r="F32" s="8">
        <v>7</v>
      </c>
      <c r="G32" s="8"/>
      <c r="H32" s="8">
        <f>(386+353+335)/3</f>
        <v>358</v>
      </c>
      <c r="I32" s="8">
        <v>357</v>
      </c>
      <c r="J32" s="8"/>
      <c r="K32" s="8">
        <f>(627+788+577)/3</f>
        <v>664</v>
      </c>
      <c r="L32" s="8">
        <v>249</v>
      </c>
    </row>
    <row r="33" spans="1:12" ht="15.75">
      <c r="A33" s="1" t="s">
        <v>27</v>
      </c>
      <c r="B33" s="8">
        <f>(1154+1376+1040)/3</f>
        <v>1190</v>
      </c>
      <c r="C33" s="8">
        <f t="shared" si="0"/>
        <v>690</v>
      </c>
      <c r="D33" s="8"/>
      <c r="E33" s="8">
        <f>(3+2+3)/3</f>
        <v>2.6666666666666665</v>
      </c>
      <c r="F33" s="8">
        <v>7</v>
      </c>
      <c r="G33" s="8"/>
      <c r="H33" s="8">
        <f>(462+476+424)/3</f>
        <v>454</v>
      </c>
      <c r="I33" s="8">
        <v>489</v>
      </c>
      <c r="J33" s="8"/>
      <c r="K33" s="8">
        <f>(689+898+613)/3</f>
        <v>733.3333333333334</v>
      </c>
      <c r="L33" s="8">
        <v>194</v>
      </c>
    </row>
    <row r="34" spans="1:12" ht="15.75">
      <c r="A34" s="1" t="s">
        <v>28</v>
      </c>
      <c r="B34" s="8">
        <f>(1782+1895+1367)/3</f>
        <v>1681.3333333333333</v>
      </c>
      <c r="C34" s="8">
        <f t="shared" si="0"/>
        <v>949</v>
      </c>
      <c r="D34" s="8"/>
      <c r="E34" s="8">
        <f>(13+11+19)/3</f>
        <v>14.333333333333334</v>
      </c>
      <c r="F34" s="8">
        <v>7</v>
      </c>
      <c r="G34" s="8"/>
      <c r="H34" s="8">
        <f>(579+626+545)/3</f>
        <v>583.3333333333334</v>
      </c>
      <c r="I34" s="8">
        <v>637</v>
      </c>
      <c r="J34" s="8"/>
      <c r="K34" s="8">
        <f>(1190+1258+803)/3</f>
        <v>1083.6666666666667</v>
      </c>
      <c r="L34" s="8">
        <v>305</v>
      </c>
    </row>
    <row r="35" spans="1:12" ht="15.75">
      <c r="A35" s="1" t="s">
        <v>29</v>
      </c>
      <c r="B35" s="8">
        <f>(1111+1168+950)/3</f>
        <v>1076.3333333333333</v>
      </c>
      <c r="C35" s="8">
        <f t="shared" si="0"/>
        <v>651</v>
      </c>
      <c r="D35" s="8"/>
      <c r="E35" s="8">
        <f>(7+7+8)/3</f>
        <v>7.333333333333333</v>
      </c>
      <c r="F35" s="8">
        <v>12</v>
      </c>
      <c r="G35" s="8"/>
      <c r="H35" s="8">
        <f>(384+392+365)/3</f>
        <v>380.3333333333333</v>
      </c>
      <c r="I35" s="8">
        <v>425</v>
      </c>
      <c r="J35" s="8"/>
      <c r="K35" s="8">
        <f>(720+769+577)/3</f>
        <v>688.6666666666666</v>
      </c>
      <c r="L35" s="8">
        <v>214</v>
      </c>
    </row>
    <row r="36" spans="1:12" ht="15.75">
      <c r="A36" s="1" t="s">
        <v>30</v>
      </c>
      <c r="B36" s="8">
        <f>(187+206+159)/3</f>
        <v>184</v>
      </c>
      <c r="C36" s="8">
        <f t="shared" si="0"/>
        <v>151</v>
      </c>
      <c r="D36" s="8"/>
      <c r="E36" s="7">
        <f>(1+2+2)/3</f>
        <v>1.6666666666666667</v>
      </c>
      <c r="F36" s="7">
        <v>2</v>
      </c>
      <c r="G36" s="8"/>
      <c r="H36" s="8">
        <f>(60+62+42)/3</f>
        <v>54.666666666666664</v>
      </c>
      <c r="I36" s="8">
        <v>61</v>
      </c>
      <c r="J36" s="8"/>
      <c r="K36" s="8">
        <f>(126+142+115)/3</f>
        <v>127.66666666666667</v>
      </c>
      <c r="L36" s="8">
        <v>88</v>
      </c>
    </row>
    <row r="37" spans="1:12" ht="15.75">
      <c r="A37" s="1" t="s">
        <v>31</v>
      </c>
      <c r="B37" s="8">
        <f>(1076+1302+970)/3</f>
        <v>1116</v>
      </c>
      <c r="C37" s="8">
        <f t="shared" si="0"/>
        <v>756</v>
      </c>
      <c r="D37" s="8"/>
      <c r="E37" s="8">
        <f>(5+10+7)/3</f>
        <v>7.333333333333333</v>
      </c>
      <c r="F37" s="8">
        <v>6</v>
      </c>
      <c r="G37" s="8"/>
      <c r="H37" s="8">
        <f>(436+463+392)/3</f>
        <v>430.3333333333333</v>
      </c>
      <c r="I37" s="8">
        <v>473</v>
      </c>
      <c r="J37" s="8"/>
      <c r="K37" s="8">
        <f>(635+829+571)/3</f>
        <v>678.3333333333334</v>
      </c>
      <c r="L37" s="8">
        <v>277</v>
      </c>
    </row>
    <row r="38" spans="1:12" ht="15.75">
      <c r="A38" s="1" t="s">
        <v>32</v>
      </c>
      <c r="B38" s="8">
        <f>(1820+1996+1833)/3</f>
        <v>1883</v>
      </c>
      <c r="C38" s="8">
        <f t="shared" si="0"/>
        <v>1092</v>
      </c>
      <c r="D38" s="8"/>
      <c r="E38" s="8">
        <f>(11+13+17)/3</f>
        <v>13.666666666666666</v>
      </c>
      <c r="F38" s="8">
        <v>15</v>
      </c>
      <c r="G38" s="8"/>
      <c r="H38" s="8">
        <f>(820+756+760)/3</f>
        <v>778.6666666666666</v>
      </c>
      <c r="I38" s="8">
        <v>747</v>
      </c>
      <c r="J38" s="8"/>
      <c r="K38" s="8">
        <f>(1165+1601+1056)/3</f>
        <v>1274</v>
      </c>
      <c r="L38" s="8">
        <v>330</v>
      </c>
    </row>
    <row r="39" spans="1:12" ht="15.75">
      <c r="A39" s="1" t="s">
        <v>33</v>
      </c>
      <c r="B39" s="8">
        <f>(526+656+472)/3</f>
        <v>551.3333333333334</v>
      </c>
      <c r="C39" s="8">
        <f t="shared" si="0"/>
        <v>346</v>
      </c>
      <c r="D39" s="8"/>
      <c r="E39" s="8">
        <f>(6+6+3)/3</f>
        <v>5</v>
      </c>
      <c r="F39" s="8">
        <v>6</v>
      </c>
      <c r="G39" s="8"/>
      <c r="H39" s="8">
        <f>(182+183+163)/3</f>
        <v>176</v>
      </c>
      <c r="I39" s="8">
        <v>201</v>
      </c>
      <c r="J39" s="8"/>
      <c r="K39" s="8">
        <f>(338+467+306)/3</f>
        <v>370.3333333333333</v>
      </c>
      <c r="L39" s="8">
        <v>139</v>
      </c>
    </row>
    <row r="40" spans="1:12" ht="15.75">
      <c r="A40" s="1" t="s">
        <v>34</v>
      </c>
      <c r="B40" s="8">
        <f>(1683+1396+1396)/3</f>
        <v>1491.6666666666667</v>
      </c>
      <c r="C40" s="8">
        <f t="shared" si="0"/>
        <v>738</v>
      </c>
      <c r="D40" s="8"/>
      <c r="E40" s="8">
        <f>(4+8+8)/3</f>
        <v>6.666666666666667</v>
      </c>
      <c r="F40" s="8">
        <v>18</v>
      </c>
      <c r="G40" s="8"/>
      <c r="H40" s="8">
        <f>(446+454+460)/3</f>
        <v>453.3333333333333</v>
      </c>
      <c r="I40" s="8">
        <v>453</v>
      </c>
      <c r="J40" s="8"/>
      <c r="K40" s="8">
        <f>(1077+1221+928)/3</f>
        <v>1075.3333333333333</v>
      </c>
      <c r="L40" s="8">
        <v>267</v>
      </c>
    </row>
    <row r="41" spans="1:12" ht="15.75">
      <c r="A41" s="1" t="s">
        <v>35</v>
      </c>
      <c r="B41" s="8">
        <f>(1390+1689+1309)/3</f>
        <v>1462.6666666666667</v>
      </c>
      <c r="C41" s="8">
        <f t="shared" si="0"/>
        <v>862</v>
      </c>
      <c r="D41" s="8"/>
      <c r="E41" s="8">
        <f>(10+9+12)/3</f>
        <v>10.333333333333334</v>
      </c>
      <c r="F41" s="8">
        <v>7</v>
      </c>
      <c r="G41" s="8"/>
      <c r="H41" s="8">
        <f>(492+552+461)/3</f>
        <v>501.6666666666667</v>
      </c>
      <c r="I41" s="8">
        <v>555</v>
      </c>
      <c r="J41" s="8"/>
      <c r="K41" s="8">
        <f>(888+1128+836)/3</f>
        <v>950.6666666666666</v>
      </c>
      <c r="L41" s="8">
        <v>300</v>
      </c>
    </row>
    <row r="42" spans="1:12" ht="15.75">
      <c r="A42" s="1" t="s">
        <v>36</v>
      </c>
      <c r="B42" s="8">
        <f>(16989+18852+14387)/3</f>
        <v>16742.666666666668</v>
      </c>
      <c r="C42" s="8">
        <f t="shared" si="0"/>
        <v>10080</v>
      </c>
      <c r="D42" s="8"/>
      <c r="E42" s="8">
        <f>(49+48+55)/3</f>
        <v>50.666666666666664</v>
      </c>
      <c r="F42" s="8">
        <v>50</v>
      </c>
      <c r="G42" s="8"/>
      <c r="H42" s="8">
        <f>(6067+6598+6098)/3</f>
        <v>6254.333333333333</v>
      </c>
      <c r="I42" s="8">
        <v>6414</v>
      </c>
      <c r="J42" s="8"/>
      <c r="K42" s="8">
        <f>(10873+12206+8234)/3</f>
        <v>10437.666666666666</v>
      </c>
      <c r="L42" s="8">
        <v>3616</v>
      </c>
    </row>
    <row r="43" spans="1:12" ht="15.75">
      <c r="A43" s="1" t="s">
        <v>37</v>
      </c>
      <c r="B43" s="8">
        <f>(1127+1336+965)/3</f>
        <v>1142.6666666666667</v>
      </c>
      <c r="C43" s="8">
        <f t="shared" si="0"/>
        <v>645</v>
      </c>
      <c r="D43" s="8"/>
      <c r="E43" s="8">
        <f>(1+6+8)/3</f>
        <v>5</v>
      </c>
      <c r="F43" s="8">
        <v>5</v>
      </c>
      <c r="G43" s="8"/>
      <c r="H43" s="8">
        <f>(396+372+348)/3</f>
        <v>372</v>
      </c>
      <c r="I43" s="8">
        <v>400</v>
      </c>
      <c r="J43" s="8"/>
      <c r="K43" s="8">
        <f>(730+958+609)/3</f>
        <v>765.6666666666666</v>
      </c>
      <c r="L43" s="8">
        <v>240</v>
      </c>
    </row>
    <row r="44" spans="1:12" ht="15.75">
      <c r="A44" s="1" t="s">
        <v>38</v>
      </c>
      <c r="B44" s="8">
        <f>(35212+37716+32297)/3</f>
        <v>35075</v>
      </c>
      <c r="C44" s="8">
        <f t="shared" si="0"/>
        <v>25305</v>
      </c>
      <c r="D44" s="8"/>
      <c r="E44" s="8">
        <f>(123+94+93)/3</f>
        <v>103.33333333333333</v>
      </c>
      <c r="F44" s="8">
        <v>110</v>
      </c>
      <c r="G44" s="8"/>
      <c r="H44" s="8">
        <f>(16681+17304+16528)/3</f>
        <v>16837.666666666668</v>
      </c>
      <c r="I44" s="8">
        <v>16959</v>
      </c>
      <c r="J44" s="8"/>
      <c r="K44" s="8">
        <f>(18408+20318+15676)/3</f>
        <v>18134</v>
      </c>
      <c r="L44" s="8">
        <v>8236</v>
      </c>
    </row>
    <row r="45" spans="1:12" ht="15.75">
      <c r="A45" s="1" t="s">
        <v>39</v>
      </c>
      <c r="B45" s="8">
        <f>(3834+4100+3349)/3</f>
        <v>3761</v>
      </c>
      <c r="C45" s="8">
        <f t="shared" si="0"/>
        <v>2488</v>
      </c>
      <c r="D45" s="8"/>
      <c r="E45" s="8">
        <f>(18+13+25)/3</f>
        <v>18.666666666666668</v>
      </c>
      <c r="F45" s="8">
        <v>25</v>
      </c>
      <c r="G45" s="8"/>
      <c r="H45" s="8">
        <f>(1891+1894+1743)/3</f>
        <v>1842.6666666666667</v>
      </c>
      <c r="I45" s="8">
        <v>1729</v>
      </c>
      <c r="J45" s="8"/>
      <c r="K45" s="8">
        <f>(1925+2193+1581)/3</f>
        <v>1899.6666666666667</v>
      </c>
      <c r="L45" s="8">
        <v>734</v>
      </c>
    </row>
    <row r="46" spans="1:12" ht="15.75">
      <c r="A46" s="1" t="s">
        <v>40</v>
      </c>
      <c r="B46" s="8">
        <f>(5459+6335+4893)/3</f>
        <v>5562.333333333333</v>
      </c>
      <c r="C46" s="8">
        <f t="shared" si="0"/>
        <v>3105</v>
      </c>
      <c r="D46" s="8"/>
      <c r="E46" s="8">
        <f>(31+18+20)/3</f>
        <v>23</v>
      </c>
      <c r="F46" s="8">
        <v>27</v>
      </c>
      <c r="G46" s="8"/>
      <c r="H46" s="8">
        <f>(2175+2202+2089)/3</f>
        <v>2155.3333333333335</v>
      </c>
      <c r="I46" s="8">
        <v>2032</v>
      </c>
      <c r="J46" s="8"/>
      <c r="K46" s="8">
        <f>(3253+4115+2784)/3</f>
        <v>3384</v>
      </c>
      <c r="L46" s="8">
        <v>1046</v>
      </c>
    </row>
    <row r="47" spans="1:12" ht="15.75">
      <c r="A47" s="1" t="s">
        <v>41</v>
      </c>
      <c r="B47" s="8">
        <f>(11787+13010+9971)/3</f>
        <v>11589.333333333334</v>
      </c>
      <c r="C47" s="8">
        <f t="shared" si="0"/>
        <v>6450</v>
      </c>
      <c r="D47" s="8"/>
      <c r="E47" s="8">
        <f>(34+20+30)/3</f>
        <v>28</v>
      </c>
      <c r="F47" s="8">
        <v>35</v>
      </c>
      <c r="G47" s="8"/>
      <c r="H47" s="8">
        <f>(4509+4431+4038)/3</f>
        <v>4326</v>
      </c>
      <c r="I47" s="8">
        <v>4172</v>
      </c>
      <c r="J47" s="8"/>
      <c r="K47" s="8">
        <f>(7244+8559+5903)/3</f>
        <v>7235.333333333333</v>
      </c>
      <c r="L47" s="8">
        <v>2243</v>
      </c>
    </row>
    <row r="48" spans="1:12" ht="15.75">
      <c r="A48" s="1" t="s">
        <v>42</v>
      </c>
      <c r="B48" s="8">
        <f>(3177+3554+2414)/3</f>
        <v>3048.3333333333335</v>
      </c>
      <c r="C48" s="8">
        <f t="shared" si="0"/>
        <v>1342</v>
      </c>
      <c r="D48" s="8"/>
      <c r="E48" s="8">
        <f>(15+14+18)/3</f>
        <v>15.666666666666666</v>
      </c>
      <c r="F48" s="8">
        <v>13</v>
      </c>
      <c r="G48" s="8"/>
      <c r="H48" s="8">
        <f>(794+857+758)/3</f>
        <v>803</v>
      </c>
      <c r="I48" s="8">
        <v>829</v>
      </c>
      <c r="J48" s="8"/>
      <c r="K48" s="8">
        <f>(2368+2683+1638)/3</f>
        <v>2229.6666666666665</v>
      </c>
      <c r="L48" s="8">
        <v>500</v>
      </c>
    </row>
    <row r="49" spans="1:12" ht="15.75">
      <c r="A49" s="1" t="s">
        <v>43</v>
      </c>
      <c r="B49" s="8">
        <f>(8204+9604+8183)/3</f>
        <v>8663.666666666666</v>
      </c>
      <c r="C49" s="8">
        <f t="shared" si="0"/>
        <v>5870</v>
      </c>
      <c r="D49" s="8"/>
      <c r="E49" s="8">
        <f>(43+30+36)/3</f>
        <v>36.333333333333336</v>
      </c>
      <c r="F49" s="8">
        <v>43</v>
      </c>
      <c r="G49" s="8"/>
      <c r="H49" s="8">
        <f>(3511+3662+3524)/3</f>
        <v>3565.6666666666665</v>
      </c>
      <c r="I49" s="8">
        <v>3831</v>
      </c>
      <c r="J49" s="8"/>
      <c r="K49" s="8">
        <f>(4650+5912+4623)/3</f>
        <v>5061.666666666667</v>
      </c>
      <c r="L49" s="8">
        <v>1996</v>
      </c>
    </row>
    <row r="50" spans="1:12" ht="15.75">
      <c r="A50" s="1" t="s">
        <v>44</v>
      </c>
      <c r="B50" s="8">
        <f>(766+848+644)/3</f>
        <v>752.6666666666666</v>
      </c>
      <c r="C50" s="8">
        <f t="shared" si="0"/>
        <v>442</v>
      </c>
      <c r="D50" s="8"/>
      <c r="E50" s="8">
        <f>(7+2+9)/3</f>
        <v>6</v>
      </c>
      <c r="F50" s="8">
        <v>7</v>
      </c>
      <c r="G50" s="8"/>
      <c r="H50" s="8">
        <f>(246+262+248)/3</f>
        <v>252</v>
      </c>
      <c r="I50" s="8">
        <v>269</v>
      </c>
      <c r="J50" s="8"/>
      <c r="K50" s="8">
        <f>(513+584+387)/3</f>
        <v>494.6666666666667</v>
      </c>
      <c r="L50" s="8">
        <v>166</v>
      </c>
    </row>
    <row r="51" spans="1:12" ht="15.75">
      <c r="A51" s="1" t="s">
        <v>45</v>
      </c>
      <c r="B51" s="8">
        <f>(2842+3360+2544)/3</f>
        <v>2915.3333333333335</v>
      </c>
      <c r="C51" s="8">
        <f t="shared" si="0"/>
        <v>1599</v>
      </c>
      <c r="D51" s="8"/>
      <c r="E51" s="8">
        <f>(24+24+18)/3</f>
        <v>22</v>
      </c>
      <c r="F51" s="8">
        <v>23</v>
      </c>
      <c r="G51" s="8"/>
      <c r="H51" s="8">
        <f>(993+1083+1036)/3</f>
        <v>1037.3333333333333</v>
      </c>
      <c r="I51" s="8">
        <v>1039</v>
      </c>
      <c r="J51" s="8"/>
      <c r="K51" s="8">
        <f>(1825+2253+1490)/3</f>
        <v>1856</v>
      </c>
      <c r="L51" s="8">
        <v>537</v>
      </c>
    </row>
    <row r="52" spans="1:12" ht="15.75">
      <c r="A52" s="1" t="s">
        <v>46</v>
      </c>
      <c r="B52" s="8">
        <f>(1558+1572+1258)/3</f>
        <v>1462.6666666666667</v>
      </c>
      <c r="C52" s="8">
        <f t="shared" si="0"/>
        <v>921</v>
      </c>
      <c r="D52" s="8"/>
      <c r="E52" s="8">
        <f>(9+9+11)/3</f>
        <v>9.666666666666666</v>
      </c>
      <c r="F52" s="8">
        <v>7</v>
      </c>
      <c r="G52" s="8"/>
      <c r="H52" s="8">
        <f>(567+504+450)/3</f>
        <v>507</v>
      </c>
      <c r="I52" s="8">
        <v>537</v>
      </c>
      <c r="J52" s="8"/>
      <c r="K52" s="8">
        <f>(982+1059+797)/3</f>
        <v>946</v>
      </c>
      <c r="L52" s="8">
        <v>377</v>
      </c>
    </row>
    <row r="53" spans="1:12" ht="15.75">
      <c r="A53" s="1" t="s">
        <v>47</v>
      </c>
      <c r="B53" s="8">
        <f>(2141+2649+2344)/3</f>
        <v>2378</v>
      </c>
      <c r="C53" s="8">
        <f t="shared" si="0"/>
        <v>1531</v>
      </c>
      <c r="D53" s="8"/>
      <c r="E53" s="8">
        <f>(15+10+10)/3</f>
        <v>11.666666666666666</v>
      </c>
      <c r="F53" s="8">
        <v>12</v>
      </c>
      <c r="G53" s="8"/>
      <c r="H53" s="8">
        <f>(954+959+950)/3</f>
        <v>954.3333333333334</v>
      </c>
      <c r="I53" s="8">
        <v>874</v>
      </c>
      <c r="J53" s="8"/>
      <c r="K53" s="8">
        <f>(1172+1680+1384)/3</f>
        <v>1412</v>
      </c>
      <c r="L53" s="8">
        <v>645</v>
      </c>
    </row>
    <row r="54" spans="1:12" ht="15.75">
      <c r="A54" s="1" t="s">
        <v>48</v>
      </c>
      <c r="B54" s="8">
        <f>(2785+3106+2435)/3</f>
        <v>2775.3333333333335</v>
      </c>
      <c r="C54" s="8">
        <f t="shared" si="0"/>
        <v>1835</v>
      </c>
      <c r="D54" s="8"/>
      <c r="E54" s="8">
        <f>(11+15+15)/3</f>
        <v>13.666666666666666</v>
      </c>
      <c r="F54" s="8">
        <v>18</v>
      </c>
      <c r="G54" s="8"/>
      <c r="H54" s="8">
        <f>(1191+1249+1061)/3</f>
        <v>1167</v>
      </c>
      <c r="I54" s="8">
        <v>1149</v>
      </c>
      <c r="J54" s="8"/>
      <c r="K54" s="8">
        <f>(1583+1842+1359)/3</f>
        <v>1594.6666666666667</v>
      </c>
      <c r="L54" s="8">
        <v>668</v>
      </c>
    </row>
    <row r="55" spans="1:12" ht="15.75">
      <c r="A55" s="1" t="s">
        <v>49</v>
      </c>
      <c r="B55" s="8">
        <f>(6396+7262+6069)/3</f>
        <v>6575.666666666667</v>
      </c>
      <c r="C55" s="8">
        <f t="shared" si="0"/>
        <v>4702</v>
      </c>
      <c r="D55" s="8"/>
      <c r="E55" s="8">
        <f>(22+18+20)/3</f>
        <v>20</v>
      </c>
      <c r="F55" s="8">
        <v>25</v>
      </c>
      <c r="G55" s="8"/>
      <c r="H55" s="8">
        <f>(2930+3160+2990)/3</f>
        <v>3026.6666666666665</v>
      </c>
      <c r="I55" s="8">
        <v>2970</v>
      </c>
      <c r="J55" s="8"/>
      <c r="K55" s="8">
        <f>(3444+4084+3059)/3</f>
        <v>3529</v>
      </c>
      <c r="L55" s="8">
        <v>1707</v>
      </c>
    </row>
    <row r="56" spans="1:12" ht="15.75">
      <c r="A56" s="1" t="s">
        <v>50</v>
      </c>
      <c r="B56" s="8">
        <f>(2741+2867+1924)/3</f>
        <v>2510.6666666666665</v>
      </c>
      <c r="C56" s="8">
        <f t="shared" si="0"/>
        <v>1214</v>
      </c>
      <c r="D56" s="8"/>
      <c r="E56" s="8">
        <f>(23+21+20)/3</f>
        <v>21.333333333333332</v>
      </c>
      <c r="F56" s="8">
        <v>17</v>
      </c>
      <c r="G56" s="8"/>
      <c r="H56" s="8">
        <f>(693+742+723)/3</f>
        <v>719.3333333333334</v>
      </c>
      <c r="I56" s="8">
        <v>708</v>
      </c>
      <c r="J56" s="8"/>
      <c r="K56" s="8">
        <f>(2025+2104+1185)/3</f>
        <v>1771.3333333333333</v>
      </c>
      <c r="L56" s="8">
        <v>489</v>
      </c>
    </row>
    <row r="57" spans="1:12" ht="15.75">
      <c r="A57" s="1" t="s">
        <v>51</v>
      </c>
      <c r="B57" s="8">
        <f>(3052+3314+2801)/3</f>
        <v>3055.6666666666665</v>
      </c>
      <c r="C57" s="8">
        <f t="shared" si="0"/>
        <v>2217</v>
      </c>
      <c r="D57" s="8"/>
      <c r="E57" s="8">
        <f>(23+16+18)/3</f>
        <v>19</v>
      </c>
      <c r="F57" s="8">
        <v>15</v>
      </c>
      <c r="G57" s="8"/>
      <c r="H57" s="8">
        <f>(1422+1421+1336)/3</f>
        <v>1393</v>
      </c>
      <c r="I57" s="8">
        <v>1338</v>
      </c>
      <c r="J57" s="8"/>
      <c r="K57" s="8">
        <f>(1607+1877+1447)/3</f>
        <v>1643.6666666666667</v>
      </c>
      <c r="L57" s="8">
        <v>864</v>
      </c>
    </row>
    <row r="58" spans="1:12" ht="15.75">
      <c r="A58" s="1" t="s">
        <v>52</v>
      </c>
      <c r="B58" s="8">
        <f>(2918+3708+2625)/3</f>
        <v>3083.6666666666665</v>
      </c>
      <c r="C58" s="8">
        <f t="shared" si="0"/>
        <v>1986</v>
      </c>
      <c r="D58" s="8"/>
      <c r="E58" s="8">
        <f>(7+13+11)/3</f>
        <v>10.333333333333334</v>
      </c>
      <c r="F58" s="8">
        <v>7</v>
      </c>
      <c r="G58" s="8"/>
      <c r="H58" s="8">
        <f>(1165+1221+1186)/3</f>
        <v>1190.6666666666667</v>
      </c>
      <c r="I58" s="8">
        <v>1334</v>
      </c>
      <c r="J58" s="8"/>
      <c r="K58" s="8">
        <f>(1746+1874+1428)/3</f>
        <v>1682.6666666666667</v>
      </c>
      <c r="L58" s="8">
        <v>645</v>
      </c>
    </row>
    <row r="59" spans="1:12" ht="15.75">
      <c r="A59" s="1" t="s">
        <v>53</v>
      </c>
      <c r="B59" s="8">
        <f>(634+731+634)/3</f>
        <v>666.3333333333334</v>
      </c>
      <c r="C59" s="8">
        <f t="shared" si="0"/>
        <v>398</v>
      </c>
      <c r="D59" s="8"/>
      <c r="E59" s="8">
        <f>(6+2+6)/3</f>
        <v>4.666666666666667</v>
      </c>
      <c r="F59" s="8">
        <v>2</v>
      </c>
      <c r="G59" s="8"/>
      <c r="H59" s="8">
        <f>(223+249+266)/3</f>
        <v>246</v>
      </c>
      <c r="I59" s="8">
        <v>257</v>
      </c>
      <c r="J59" s="8"/>
      <c r="K59" s="8">
        <f>(405+480+362)/3</f>
        <v>415.6666666666667</v>
      </c>
      <c r="L59" s="8">
        <v>139</v>
      </c>
    </row>
    <row r="60" spans="1:12" ht="15.75">
      <c r="A60" s="1" t="s">
        <v>54</v>
      </c>
      <c r="B60" s="8">
        <f>(440+524+394)/3</f>
        <v>452.6666666666667</v>
      </c>
      <c r="C60" s="8">
        <f t="shared" si="0"/>
        <v>211</v>
      </c>
      <c r="D60" s="8"/>
      <c r="E60" s="8">
        <f>(4+1+2)/3</f>
        <v>2.3333333333333335</v>
      </c>
      <c r="F60" s="8">
        <v>1</v>
      </c>
      <c r="G60" s="8"/>
      <c r="H60" s="8">
        <f>(137+147+128)/3</f>
        <v>137.33333333333334</v>
      </c>
      <c r="I60" s="8">
        <v>136</v>
      </c>
      <c r="J60" s="8"/>
      <c r="K60" s="8">
        <f>(299+376+265)/3</f>
        <v>313.3333333333333</v>
      </c>
      <c r="L60" s="8">
        <v>74</v>
      </c>
    </row>
    <row r="61" spans="1:12" ht="15.75">
      <c r="A61" s="1" t="s">
        <v>55</v>
      </c>
      <c r="B61" s="8">
        <f>(923+1023+704)/3</f>
        <v>883.3333333333334</v>
      </c>
      <c r="C61" s="8">
        <f t="shared" si="0"/>
        <v>423</v>
      </c>
      <c r="D61" s="8"/>
      <c r="E61" s="8">
        <f>(2+6+4)/3</f>
        <v>4</v>
      </c>
      <c r="F61" s="8">
        <v>10</v>
      </c>
      <c r="G61" s="8"/>
      <c r="H61" s="8">
        <f>(638+745+249)/3</f>
        <v>544</v>
      </c>
      <c r="I61" s="8">
        <v>275</v>
      </c>
      <c r="J61" s="8"/>
      <c r="K61" s="8">
        <f>(638+745+451)/3</f>
        <v>611.3333333333334</v>
      </c>
      <c r="L61" s="8">
        <v>138</v>
      </c>
    </row>
    <row r="62" spans="1:12" ht="15.75">
      <c r="A62" s="1" t="s">
        <v>56</v>
      </c>
      <c r="B62" s="8">
        <f>(1836+2318+1669)/3</f>
        <v>1941</v>
      </c>
      <c r="C62" s="8">
        <f t="shared" si="0"/>
        <v>1161</v>
      </c>
      <c r="D62" s="8"/>
      <c r="E62" s="8">
        <f>(16+13+12)/3</f>
        <v>13.666666666666666</v>
      </c>
      <c r="F62" s="8">
        <v>19</v>
      </c>
      <c r="G62" s="8"/>
      <c r="H62" s="8">
        <f>(741+801+693)/3</f>
        <v>745</v>
      </c>
      <c r="I62" s="8">
        <v>722</v>
      </c>
      <c r="J62" s="8"/>
      <c r="K62" s="8">
        <f>(1079+1504+964)/3</f>
        <v>1182.3333333333333</v>
      </c>
      <c r="L62" s="8">
        <v>420</v>
      </c>
    </row>
    <row r="63" spans="1:12" ht="15.75">
      <c r="A63" s="1" t="s">
        <v>57</v>
      </c>
      <c r="B63" s="8">
        <f>(31407+38454+30518)/3</f>
        <v>33459.666666666664</v>
      </c>
      <c r="C63" s="8">
        <f t="shared" si="0"/>
        <v>22742</v>
      </c>
      <c r="D63" s="8"/>
      <c r="E63" s="8">
        <f>(153+151+164)/3</f>
        <v>156</v>
      </c>
      <c r="F63" s="8">
        <v>151</v>
      </c>
      <c r="G63" s="8"/>
      <c r="H63" s="8">
        <f>(14621+15233+15055)/3</f>
        <v>14969.666666666666</v>
      </c>
      <c r="I63" s="8">
        <v>15583</v>
      </c>
      <c r="J63" s="8"/>
      <c r="K63" s="8">
        <f>(16633+19470+15299)/3</f>
        <v>17134</v>
      </c>
      <c r="L63" s="8">
        <v>7008</v>
      </c>
    </row>
    <row r="64" spans="1:12" ht="15.75">
      <c r="A64" s="1" t="s">
        <v>58</v>
      </c>
      <c r="B64" s="8">
        <f>(1777+2018+1653)/3</f>
        <v>1816</v>
      </c>
      <c r="C64" s="8">
        <f t="shared" si="0"/>
        <v>1138</v>
      </c>
      <c r="D64" s="8"/>
      <c r="E64" s="8">
        <f>(12+11+10)/3</f>
        <v>11</v>
      </c>
      <c r="F64" s="8">
        <v>12</v>
      </c>
      <c r="G64" s="8"/>
      <c r="H64" s="8">
        <f>(720+712+693)/3</f>
        <v>708.3333333333334</v>
      </c>
      <c r="I64" s="8">
        <v>772</v>
      </c>
      <c r="J64" s="8"/>
      <c r="K64" s="8">
        <f>(1045+1295+950)/3</f>
        <v>1096.6666666666667</v>
      </c>
      <c r="L64" s="8">
        <v>354</v>
      </c>
    </row>
    <row r="65" spans="1:12" ht="15.75">
      <c r="A65" s="1" t="s">
        <v>59</v>
      </c>
      <c r="B65" s="8">
        <f>(1018+1116+817)/3</f>
        <v>983.6666666666666</v>
      </c>
      <c r="C65" s="8">
        <f t="shared" si="0"/>
        <v>520</v>
      </c>
      <c r="D65" s="8"/>
      <c r="E65" s="8">
        <f>(3+4+10)/3</f>
        <v>5.666666666666667</v>
      </c>
      <c r="F65" s="8">
        <v>5</v>
      </c>
      <c r="G65" s="8"/>
      <c r="H65" s="8">
        <f>(351+347+277)/3</f>
        <v>325</v>
      </c>
      <c r="I65" s="8">
        <v>308</v>
      </c>
      <c r="J65" s="8"/>
      <c r="K65" s="8">
        <f>(664+765+530)/3</f>
        <v>653</v>
      </c>
      <c r="L65" s="8">
        <v>207</v>
      </c>
    </row>
    <row r="66" spans="1:12" ht="15.75">
      <c r="A66" s="1" t="s">
        <v>60</v>
      </c>
      <c r="B66" s="8">
        <f>(2182+2561+1988)/3</f>
        <v>2243.6666666666665</v>
      </c>
      <c r="C66" s="8">
        <f t="shared" si="0"/>
        <v>1086</v>
      </c>
      <c r="D66" s="8"/>
      <c r="E66" s="8">
        <f>(5+6+7)/3</f>
        <v>6</v>
      </c>
      <c r="F66" s="8">
        <v>8</v>
      </c>
      <c r="G66" s="8"/>
      <c r="H66" s="8">
        <f>(715+740+640)/3</f>
        <v>698.3333333333334</v>
      </c>
      <c r="I66" s="8">
        <v>671</v>
      </c>
      <c r="J66" s="8"/>
      <c r="K66" s="8">
        <f>(1462+1815+1341)/3</f>
        <v>1539.3333333333333</v>
      </c>
      <c r="L66" s="8">
        <v>407</v>
      </c>
    </row>
    <row r="67" spans="1:12" ht="15.75">
      <c r="A67" s="1" t="s">
        <v>61</v>
      </c>
      <c r="B67" s="8">
        <f>(4164+4583+3766)/3</f>
        <v>4171</v>
      </c>
      <c r="C67" s="8">
        <f aca="true" t="shared" si="1" ref="C67:C73">F67+I67+L67</f>
        <v>2638</v>
      </c>
      <c r="D67" s="8"/>
      <c r="E67" s="8">
        <f>(20+21+27)/3</f>
        <v>22.666666666666668</v>
      </c>
      <c r="F67" s="8">
        <v>20</v>
      </c>
      <c r="G67" s="8"/>
      <c r="H67" s="8">
        <f>(1722+1800+1611)/3</f>
        <v>1711</v>
      </c>
      <c r="I67" s="8">
        <v>1766</v>
      </c>
      <c r="J67" s="8"/>
      <c r="K67" s="8">
        <f>(2422+2762+2128)/3</f>
        <v>2437.3333333333335</v>
      </c>
      <c r="L67" s="8">
        <v>852</v>
      </c>
    </row>
    <row r="68" spans="1:12" ht="15.75">
      <c r="A68" s="1" t="s">
        <v>62</v>
      </c>
      <c r="B68" s="8">
        <f>(2026+2080+1673)/3</f>
        <v>1926.3333333333333</v>
      </c>
      <c r="C68" s="8">
        <f t="shared" si="1"/>
        <v>1031</v>
      </c>
      <c r="D68" s="8"/>
      <c r="E68" s="8">
        <f>(8+7+7)/3</f>
        <v>7.333333333333333</v>
      </c>
      <c r="F68" s="8">
        <v>5</v>
      </c>
      <c r="G68" s="8"/>
      <c r="H68" s="8">
        <f>(687+678+637)/3</f>
        <v>667.3333333333334</v>
      </c>
      <c r="I68" s="8">
        <v>669</v>
      </c>
      <c r="J68" s="8"/>
      <c r="K68" s="8">
        <f>(1331+1395+1029)/3</f>
        <v>1251.6666666666667</v>
      </c>
      <c r="L68" s="8">
        <v>357</v>
      </c>
    </row>
    <row r="69" spans="1:12" ht="15.75">
      <c r="A69" s="1" t="s">
        <v>63</v>
      </c>
      <c r="B69" s="8">
        <f>(935+1242+1274)/3</f>
        <v>1150.3333333333333</v>
      </c>
      <c r="C69" s="8">
        <f t="shared" si="1"/>
        <v>702</v>
      </c>
      <c r="D69" s="8"/>
      <c r="E69" s="8">
        <f>(8+11+8)/3</f>
        <v>9</v>
      </c>
      <c r="F69" s="8">
        <v>11</v>
      </c>
      <c r="G69" s="8"/>
      <c r="H69" s="8">
        <f>(471+430+444)/3</f>
        <v>448.3333333333333</v>
      </c>
      <c r="I69" s="8">
        <v>450</v>
      </c>
      <c r="J69" s="8"/>
      <c r="K69" s="8">
        <f>(763+833+637)/3</f>
        <v>744.3333333333334</v>
      </c>
      <c r="L69" s="8">
        <v>241</v>
      </c>
    </row>
    <row r="70" spans="1:12" ht="15.75">
      <c r="A70" s="1" t="s">
        <v>64</v>
      </c>
      <c r="B70" s="8">
        <f>(1672+1941+1445)/3</f>
        <v>1686</v>
      </c>
      <c r="C70" s="8">
        <f t="shared" si="1"/>
        <v>952</v>
      </c>
      <c r="D70" s="8"/>
      <c r="E70" s="8">
        <f>(9+11+21)/3</f>
        <v>13.666666666666666</v>
      </c>
      <c r="F70" s="8">
        <v>14</v>
      </c>
      <c r="G70" s="8"/>
      <c r="H70" s="34">
        <f>(640+647+584)/3</f>
        <v>623.6666666666666</v>
      </c>
      <c r="I70" s="1">
        <v>569</v>
      </c>
      <c r="J70" s="8"/>
      <c r="K70" s="8">
        <f>(1023+1283+840)/3</f>
        <v>1048.6666666666667</v>
      </c>
      <c r="L70" s="8">
        <v>369</v>
      </c>
    </row>
    <row r="71" spans="1:12" ht="15.75">
      <c r="A71" s="1" t="s">
        <v>65</v>
      </c>
      <c r="B71" s="8">
        <f>(17452+19153+17359)/3</f>
        <v>17988</v>
      </c>
      <c r="C71" s="8">
        <f t="shared" si="1"/>
        <v>14060</v>
      </c>
      <c r="D71" s="8"/>
      <c r="E71" s="8">
        <f>(51+56+54)/3</f>
        <v>53.666666666666664</v>
      </c>
      <c r="F71" s="8">
        <v>72</v>
      </c>
      <c r="G71" s="8"/>
      <c r="H71" s="8">
        <f>(8409+8672+8426)/3</f>
        <v>8502.333333333334</v>
      </c>
      <c r="I71" s="8">
        <v>8429</v>
      </c>
      <c r="J71" s="8"/>
      <c r="K71" s="8">
        <f>(8992+10425+8879)/3</f>
        <v>9432</v>
      </c>
      <c r="L71" s="8">
        <v>5559</v>
      </c>
    </row>
    <row r="72" spans="1:12" ht="15.75">
      <c r="A72" s="1" t="s">
        <v>66</v>
      </c>
      <c r="B72" s="8">
        <f>(915+1179+891)/3</f>
        <v>995</v>
      </c>
      <c r="C72" s="8">
        <f t="shared" si="1"/>
        <v>508</v>
      </c>
      <c r="D72" s="8"/>
      <c r="E72" s="8">
        <f>(8+11+9)/3</f>
        <v>9.333333333333334</v>
      </c>
      <c r="F72" s="8">
        <v>7</v>
      </c>
      <c r="G72" s="8"/>
      <c r="H72" s="8">
        <f>(326+310+287)/3</f>
        <v>307.6666666666667</v>
      </c>
      <c r="I72" s="8">
        <v>308</v>
      </c>
      <c r="J72" s="8"/>
      <c r="K72" s="8">
        <f>(581+858+595)/3</f>
        <v>678</v>
      </c>
      <c r="L72" s="8">
        <v>193</v>
      </c>
    </row>
    <row r="73" spans="1:12" ht="15.75">
      <c r="A73" s="1" t="s">
        <v>67</v>
      </c>
      <c r="B73" s="8">
        <f>(200+248+239)/3</f>
        <v>229</v>
      </c>
      <c r="C73" s="8">
        <f t="shared" si="1"/>
        <v>217</v>
      </c>
      <c r="D73" s="8"/>
      <c r="E73" s="8">
        <f>(8+5+3)/3</f>
        <v>5.333333333333333</v>
      </c>
      <c r="F73" s="7">
        <v>4</v>
      </c>
      <c r="G73" s="8"/>
      <c r="H73" s="8">
        <f>(109+116+123)/3</f>
        <v>116</v>
      </c>
      <c r="I73" s="8">
        <v>140</v>
      </c>
      <c r="J73" s="8"/>
      <c r="K73" s="8">
        <f>(83+127+113)/3</f>
        <v>107.66666666666667</v>
      </c>
      <c r="L73" s="8">
        <v>73</v>
      </c>
    </row>
    <row r="74" spans="1:12" ht="15.75">
      <c r="A74" s="1"/>
      <c r="B74" s="8"/>
      <c r="C74" s="8"/>
      <c r="D74" s="8"/>
      <c r="E74" s="8"/>
      <c r="F74" s="7"/>
      <c r="G74" s="8"/>
      <c r="H74" s="8"/>
      <c r="I74" s="8"/>
      <c r="J74" s="8"/>
      <c r="K74" s="8"/>
      <c r="L74" s="8"/>
    </row>
    <row r="75" spans="1:12" ht="15.75">
      <c r="A75" s="1" t="s">
        <v>71</v>
      </c>
      <c r="B75" s="8">
        <f>(0+0+616)/3</f>
        <v>205.33333333333334</v>
      </c>
      <c r="C75" s="8">
        <f>+I75+L75</f>
        <v>1252</v>
      </c>
      <c r="D75" s="8"/>
      <c r="E75" s="7">
        <v>0</v>
      </c>
      <c r="F75" s="7">
        <v>0</v>
      </c>
      <c r="G75" s="8"/>
      <c r="H75" s="8">
        <f>(0+0+129)/3</f>
        <v>43</v>
      </c>
      <c r="I75" s="8">
        <v>287</v>
      </c>
      <c r="J75" s="8"/>
      <c r="K75" s="8">
        <f>(0+0+487)/3</f>
        <v>162.33333333333334</v>
      </c>
      <c r="L75" s="8">
        <v>965</v>
      </c>
    </row>
    <row r="76" spans="1:12" ht="15.75">
      <c r="A76" s="3"/>
      <c r="B76" s="14"/>
      <c r="C76" s="14" t="s">
        <v>72</v>
      </c>
      <c r="D76" s="14"/>
      <c r="E76" s="14"/>
      <c r="F76" s="14"/>
      <c r="G76" s="14"/>
      <c r="H76" s="14"/>
      <c r="I76" s="14"/>
      <c r="J76" s="14"/>
      <c r="K76" s="14"/>
      <c r="L76" s="14"/>
    </row>
    <row r="77" spans="1:12" ht="53.25" customHeight="1">
      <c r="A77" s="31" t="s">
        <v>94</v>
      </c>
      <c r="B77" s="31"/>
      <c r="C77" s="31"/>
      <c r="D77" s="31"/>
      <c r="E77" s="31"/>
      <c r="F77" s="31"/>
      <c r="G77" s="31"/>
      <c r="H77" s="31"/>
      <c r="I77" s="31"/>
      <c r="J77" s="31"/>
      <c r="K77" s="31"/>
      <c r="L77" s="31"/>
    </row>
    <row r="78" spans="1:12" ht="15.75">
      <c r="A78" s="21"/>
      <c r="B78" s="22"/>
      <c r="C78" s="22"/>
      <c r="D78" s="22"/>
      <c r="E78" s="22"/>
      <c r="F78" s="22"/>
      <c r="G78" s="22"/>
      <c r="H78" s="22"/>
      <c r="I78" s="22"/>
      <c r="J78" s="22"/>
      <c r="K78" s="22"/>
      <c r="L78" s="22"/>
    </row>
    <row r="79" spans="1:12" ht="15.75">
      <c r="A79" s="21" t="s">
        <v>95</v>
      </c>
      <c r="B79" s="22"/>
      <c r="C79" s="22"/>
      <c r="D79" s="22"/>
      <c r="E79" s="22"/>
      <c r="F79" s="22"/>
      <c r="G79" s="22"/>
      <c r="H79" s="22"/>
      <c r="I79" s="22"/>
      <c r="J79" s="22"/>
      <c r="K79" s="22"/>
      <c r="L79" s="22"/>
    </row>
    <row r="80" spans="1:12" ht="48" customHeight="1">
      <c r="A80" s="32" t="s">
        <v>78</v>
      </c>
      <c r="B80" s="32"/>
      <c r="C80" s="32"/>
      <c r="D80" s="32"/>
      <c r="E80" s="32"/>
      <c r="F80" s="32"/>
      <c r="G80" s="32"/>
      <c r="H80" s="32"/>
      <c r="I80" s="32"/>
      <c r="J80" s="32"/>
      <c r="K80" s="32"/>
      <c r="L80" s="32"/>
    </row>
    <row r="81" spans="1:12" ht="15.75">
      <c r="A81" s="21"/>
      <c r="B81" s="21"/>
      <c r="C81" s="21"/>
      <c r="D81" s="21"/>
      <c r="E81" s="21"/>
      <c r="F81" s="21"/>
      <c r="G81" s="21"/>
      <c r="H81" s="21"/>
      <c r="I81" s="21"/>
      <c r="J81" s="21"/>
      <c r="K81" s="21"/>
      <c r="L81" s="21"/>
    </row>
    <row r="82" spans="1:12" ht="15.75">
      <c r="A82" s="21" t="s">
        <v>68</v>
      </c>
      <c r="B82" s="26"/>
      <c r="C82" s="26"/>
      <c r="D82" s="27"/>
      <c r="E82" s="27"/>
      <c r="F82" s="27"/>
      <c r="G82" s="27"/>
      <c r="H82" s="27"/>
      <c r="I82" s="27"/>
      <c r="J82" s="21"/>
      <c r="K82" s="21"/>
      <c r="L82" s="21"/>
    </row>
    <row r="83" spans="1:12" ht="15.75">
      <c r="A83" s="1"/>
      <c r="B83" s="8"/>
      <c r="C83" s="8"/>
      <c r="D83" s="8"/>
      <c r="E83" s="8"/>
      <c r="F83" s="8"/>
      <c r="G83" s="8"/>
      <c r="H83" s="8"/>
      <c r="I83" s="8"/>
      <c r="J83" s="8"/>
      <c r="K83" s="8"/>
      <c r="L83" s="8"/>
    </row>
    <row r="84" spans="1:12" ht="15.75">
      <c r="A84" s="1"/>
      <c r="B84" s="8"/>
      <c r="C84" s="8"/>
      <c r="D84" s="8"/>
      <c r="E84" s="8"/>
      <c r="F84" s="8"/>
      <c r="G84" s="8"/>
      <c r="H84" s="8"/>
      <c r="I84" s="8"/>
      <c r="J84" s="8"/>
      <c r="K84" s="8"/>
      <c r="L84" s="8"/>
    </row>
    <row r="85" spans="1:12" ht="15.75">
      <c r="A85" s="1"/>
      <c r="B85" s="8"/>
      <c r="C85" s="8"/>
      <c r="D85" s="8"/>
      <c r="E85" s="8"/>
      <c r="F85" s="8"/>
      <c r="G85" s="8"/>
      <c r="H85" s="8"/>
      <c r="I85" s="8"/>
      <c r="J85" s="8"/>
      <c r="K85" s="8"/>
      <c r="L85" s="8"/>
    </row>
    <row r="86" spans="1:12" ht="15.75">
      <c r="A86" s="1"/>
      <c r="B86" s="8"/>
      <c r="C86" s="8"/>
      <c r="D86" s="8"/>
      <c r="E86" s="8"/>
      <c r="F86" s="8"/>
      <c r="G86" s="8"/>
      <c r="H86" s="8"/>
      <c r="I86" s="8"/>
      <c r="J86" s="8"/>
      <c r="K86" s="8"/>
      <c r="L86" s="8"/>
    </row>
    <row r="87" spans="1:12" ht="15.75">
      <c r="A87" s="1"/>
      <c r="B87" s="8"/>
      <c r="C87" s="8"/>
      <c r="D87" s="8"/>
      <c r="E87" s="8"/>
      <c r="F87" s="8"/>
      <c r="G87" s="8"/>
      <c r="H87" s="8"/>
      <c r="I87" s="8"/>
      <c r="J87" s="8"/>
      <c r="K87" s="8"/>
      <c r="L87" s="8"/>
    </row>
    <row r="88" spans="1:12" ht="15.75">
      <c r="A88" s="1"/>
      <c r="B88" s="1"/>
      <c r="C88" s="1"/>
      <c r="D88" s="1"/>
      <c r="E88" s="1"/>
      <c r="F88" s="1"/>
      <c r="G88" s="1"/>
      <c r="H88" s="1"/>
      <c r="I88" s="1"/>
      <c r="J88" s="1"/>
      <c r="K88" s="1"/>
      <c r="L88" s="1"/>
    </row>
    <row r="89" spans="1:12" ht="15.75">
      <c r="A89" s="1"/>
      <c r="B89" s="1"/>
      <c r="C89" s="1"/>
      <c r="D89" s="1"/>
      <c r="E89" s="1"/>
      <c r="F89" s="1"/>
      <c r="G89" s="1"/>
      <c r="H89" s="1"/>
      <c r="I89" s="1"/>
      <c r="J89" s="1"/>
      <c r="K89" s="1"/>
      <c r="L89" s="1"/>
    </row>
    <row r="90" spans="1:12" ht="15.75">
      <c r="A90" s="33"/>
      <c r="B90" s="1"/>
      <c r="C90" s="1"/>
      <c r="D90" s="1"/>
      <c r="E90" s="1"/>
      <c r="F90" s="1"/>
      <c r="G90" s="1"/>
      <c r="H90" s="1"/>
      <c r="I90" s="1"/>
      <c r="J90" s="1"/>
      <c r="K90" s="1"/>
      <c r="L90" s="1"/>
    </row>
    <row r="91" spans="1:12" ht="15.75">
      <c r="A91" s="1"/>
      <c r="B91" s="1"/>
      <c r="C91" s="1"/>
      <c r="D91" s="1"/>
      <c r="E91" s="1"/>
      <c r="F91" s="1"/>
      <c r="G91" s="1"/>
      <c r="H91" s="1"/>
      <c r="I91" s="1"/>
      <c r="J91" s="1"/>
      <c r="K91" s="1"/>
      <c r="L91" s="1"/>
    </row>
    <row r="92" spans="1:12" ht="15.75">
      <c r="A92" s="16"/>
      <c r="B92" s="1"/>
      <c r="C92" s="1"/>
      <c r="D92" s="1"/>
      <c r="E92" s="1"/>
      <c r="F92" s="1"/>
      <c r="G92" s="1"/>
      <c r="H92" s="1"/>
      <c r="I92" s="1"/>
      <c r="J92" s="1"/>
      <c r="K92" s="1"/>
      <c r="L92" s="1"/>
    </row>
    <row r="93" spans="1:12" ht="15.75">
      <c r="A93" s="1"/>
      <c r="B93" s="1"/>
      <c r="C93" s="1"/>
      <c r="D93" s="1"/>
      <c r="E93" s="1"/>
      <c r="F93" s="1"/>
      <c r="G93" s="1"/>
      <c r="H93" s="1"/>
      <c r="I93" s="1"/>
      <c r="J93" s="1"/>
      <c r="K93" s="1"/>
      <c r="L93" s="1"/>
    </row>
    <row r="94" spans="1:12" ht="15.75">
      <c r="A94" s="1"/>
      <c r="B94" s="9"/>
      <c r="C94" s="9"/>
      <c r="D94" s="11"/>
      <c r="E94" s="11"/>
      <c r="F94" s="11"/>
      <c r="G94" s="11"/>
      <c r="H94" s="11"/>
      <c r="I94" s="11"/>
      <c r="J94" s="1"/>
      <c r="K94" s="1"/>
      <c r="L94" s="1"/>
    </row>
    <row r="95" spans="1:12" ht="15.75">
      <c r="A95" s="1"/>
      <c r="B95" s="9"/>
      <c r="C95" s="9"/>
      <c r="D95" s="11"/>
      <c r="E95" s="11"/>
      <c r="F95" s="11"/>
      <c r="G95" s="11"/>
      <c r="H95" s="11"/>
      <c r="I95" s="11"/>
      <c r="J95" s="1"/>
      <c r="K95" s="1"/>
      <c r="L95" s="1"/>
    </row>
    <row r="96" spans="1:12" ht="15.75">
      <c r="A96" s="1"/>
      <c r="B96" s="9"/>
      <c r="C96" s="9"/>
      <c r="D96" s="11"/>
      <c r="E96" s="11"/>
      <c r="F96" s="11"/>
      <c r="G96" s="11"/>
      <c r="H96" s="11"/>
      <c r="I96" s="11"/>
      <c r="J96" s="1"/>
      <c r="K96" s="1"/>
      <c r="L96" s="1"/>
    </row>
  </sheetData>
  <sheetProtection/>
  <mergeCells count="6">
    <mergeCell ref="B4:C4"/>
    <mergeCell ref="E4:F4"/>
    <mergeCell ref="H4:I4"/>
    <mergeCell ref="K4:L4"/>
    <mergeCell ref="A77:L77"/>
    <mergeCell ref="A80:L8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2016-01-21T15:19:16Z</cp:lastPrinted>
  <dcterms:created xsi:type="dcterms:W3CDTF">1998-12-30T02:02:03Z</dcterms:created>
  <dcterms:modified xsi:type="dcterms:W3CDTF">2021-08-06T13:07:09Z</dcterms:modified>
  <cp:category/>
  <cp:version/>
  <cp:contentType/>
  <cp:contentStatus/>
</cp:coreProperties>
</file>