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4" sheetId="1" r:id="rId1"/>
  </sheets>
  <definedNames>
    <definedName name="_xlnm.Print_Area" localSheetId="0">'e-34'!$A$1:$M$46</definedName>
  </definedNames>
  <calcPr fullCalcOnLoad="1"/>
</workbook>
</file>

<file path=xl/sharedStrings.xml><?xml version="1.0" encoding="utf-8"?>
<sst xmlns="http://schemas.openxmlformats.org/spreadsheetml/2006/main" count="54" uniqueCount="54">
  <si>
    <t>(millions)</t>
  </si>
  <si>
    <t>Year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</si>
  <si>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</si>
  <si>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</si>
  <si>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</si>
  <si>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</si>
  <si>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</si>
  <si>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</si>
  <si>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</si>
  <si>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</si>
  <si>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</si>
  <si>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</si>
  <si>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</si>
  <si>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</si>
  <si>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</si>
  <si>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</si>
  <si>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</si>
  <si>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</si>
  <si>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Revenues</t>
  </si>
  <si>
    <t>Expenditures</t>
  </si>
  <si>
    <t>2001-02</t>
  </si>
  <si>
    <t>2002-03</t>
  </si>
  <si>
    <t>2003-04</t>
  </si>
  <si>
    <t>2004-05</t>
  </si>
  <si>
    <t>2005-06</t>
  </si>
  <si>
    <t>Revenues, Expenditures, and Other Financing Sources (Uses) — All Governmental Funds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</si>
  <si>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</si>
  <si>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</si>
  <si>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</si>
  <si>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</si>
  <si>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</si>
  <si>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</si>
  <si>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</si>
  <si>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</si>
  <si>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</si>
  <si>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r>
      <t xml:space="preserve">SOURCE:  New York State Office of the State Comptroller, </t>
    </r>
    <r>
      <rPr>
        <i/>
        <sz val="11"/>
        <rFont val="Arial"/>
        <family val="2"/>
      </rPr>
      <t>State of New York Comprehensive Annual Financial Report.</t>
    </r>
  </si>
  <si>
    <t xml:space="preserve">2  Includes proceeds from bonds and other financing arrangements, transfers from and to other funds, swap termination, and payments on advance refundings. </t>
  </si>
  <si>
    <r>
      <t xml:space="preserve">                 All
Revenues</t>
    </r>
    <r>
      <rPr>
        <vertAlign val="superscript"/>
        <sz val="11"/>
        <rFont val="Arial"/>
        <family val="2"/>
      </rPr>
      <t>1</t>
    </r>
  </si>
  <si>
    <t xml:space="preserve">                          Taxes and
Fees</t>
  </si>
  <si>
    <t xml:space="preserve">                      Federal
Grants</t>
  </si>
  <si>
    <r>
      <t xml:space="preserve">                        Miscellaneous Other</t>
    </r>
    <r>
      <rPr>
        <vertAlign val="superscript"/>
        <sz val="11"/>
        <rFont val="Arial"/>
        <family val="2"/>
      </rPr>
      <t>1</t>
    </r>
  </si>
  <si>
    <t xml:space="preserve">         All
Expenditures</t>
  </si>
  <si>
    <t xml:space="preserve">         Grants to 
Local Governments</t>
  </si>
  <si>
    <t xml:space="preserve">             State Agency Operations</t>
  </si>
  <si>
    <t xml:space="preserve">                    Debt
Service</t>
  </si>
  <si>
    <t xml:space="preserve">                    Capital 
Projects</t>
  </si>
  <si>
    <t>Net Change
in Fund Balances</t>
  </si>
  <si>
    <r>
      <t>Net Other Financing 
Sources (Uses)</t>
    </r>
    <r>
      <rPr>
        <vertAlign val="superscript"/>
        <sz val="11"/>
        <rFont val="Arial"/>
        <family val="2"/>
      </rPr>
      <t>2</t>
    </r>
  </si>
  <si>
    <t>New York State — Fiscal Years 1985-86 — 2018-19</t>
  </si>
  <si>
    <t>2015-16</t>
  </si>
  <si>
    <t>2016-17</t>
  </si>
  <si>
    <t>2017-18</t>
  </si>
  <si>
    <t>2018-19</t>
  </si>
  <si>
    <t>1  For 2013-14 through 2016-17, this also includes a Special Item-State Insurance Fund Reserve Release.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</si>
</sst>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</numFmts>
  <fonts count="45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color indexed="10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learface Regular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5" fontId="5" fillId="0" borderId="0" xfId="0" applyNumberFormat="1" applyFont="1" applyFill="1" applyAlignment="1" applyProtection="1">
      <alignment/>
      <protection locked="0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quotePrefix="1">
      <alignment/>
    </xf>
    <xf numFmtId="3" fontId="5" fillId="0" borderId="0" xfId="0" applyNumberFormat="1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7" fillId="2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44" fillId="2" borderId="0" xfId="0" applyNumberFormat="1" applyFont="1" applyAlignment="1">
      <alignment/>
    </xf>
    <xf numFmtId="0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/>
      <protection locked="0"/>
    </xf>
    <xf numFmtId="5" fontId="9" fillId="0" borderId="0" xfId="0" applyNumberFormat="1" applyFont="1" applyFill="1" applyAlignment="1" applyProtection="1">
      <alignment/>
      <protection locked="0"/>
    </xf>
    <xf numFmtId="5" fontId="9" fillId="0" borderId="0" xfId="0" applyNumberFormat="1" applyFont="1" applyFill="1" applyAlignment="1" applyProtection="1" quotePrefix="1">
      <alignment horizontal="left"/>
      <protection locked="0"/>
    </xf>
    <xf numFmtId="0" fontId="9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right" wrapText="1"/>
    </xf>
    <xf numFmtId="0" fontId="5" fillId="0" borderId="11" xfId="0" applyNumberFormat="1" applyFont="1" applyFill="1" applyBorder="1" applyAlignment="1" applyProtection="1">
      <alignment horizontal="right" wrapText="1"/>
      <protection locked="0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/>
      <protection locked="0"/>
    </xf>
    <xf numFmtId="170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 applyProtection="1">
      <alignment/>
      <protection locked="0"/>
    </xf>
    <xf numFmtId="170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 quotePrefix="1">
      <alignment horizontal="right"/>
    </xf>
    <xf numFmtId="170" fontId="5" fillId="0" borderId="0" xfId="0" applyNumberFormat="1" applyFont="1" applyFill="1" applyAlignment="1" applyProtection="1">
      <alignment horizontal="right"/>
      <protection locked="0"/>
    </xf>
    <xf numFmtId="0" fontId="5" fillId="0" borderId="13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9.99609375" style="1" customWidth="1"/>
    <col min="2" max="5" width="12.77734375" style="1" customWidth="1"/>
    <col min="6" max="6" width="2.6640625" style="1" customWidth="1"/>
    <col min="7" max="11" width="12.77734375" style="1" customWidth="1"/>
    <col min="12" max="12" width="14.4453125" style="1" customWidth="1"/>
    <col min="13" max="13" width="12.77734375" style="1" customWidth="1"/>
    <col min="14" max="16384" width="11.4453125" style="1" customWidth="1"/>
  </cols>
  <sheetData>
    <row r="1" spans="1:14" ht="20.25">
      <c r="A1" s="27" t="s">
        <v>25</v>
      </c>
      <c r="B1" s="5"/>
      <c r="C1" s="5"/>
      <c r="D1" s="5"/>
      <c r="E1" s="5"/>
      <c r="F1" s="5"/>
      <c r="G1" s="7"/>
      <c r="H1" s="5"/>
      <c r="I1" s="5"/>
      <c r="J1" s="5"/>
      <c r="K1" s="5"/>
      <c r="L1" s="7"/>
      <c r="M1" s="5"/>
      <c r="N1" s="6"/>
    </row>
    <row r="2" spans="1:14" ht="20.25">
      <c r="A2" s="28" t="s">
        <v>48</v>
      </c>
      <c r="B2" s="5"/>
      <c r="C2" s="5"/>
      <c r="D2" s="5"/>
      <c r="E2" s="5"/>
      <c r="F2" s="5"/>
      <c r="G2" s="7"/>
      <c r="H2" s="5"/>
      <c r="I2" s="5"/>
      <c r="J2" s="5"/>
      <c r="K2" s="5"/>
      <c r="L2" s="7"/>
      <c r="M2" s="5"/>
      <c r="N2" s="6"/>
    </row>
    <row r="3" spans="1:14" ht="20.25">
      <c r="A3" s="29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5.75">
      <c r="A5" s="8"/>
      <c r="B5" s="41" t="s">
        <v>18</v>
      </c>
      <c r="C5" s="41"/>
      <c r="D5" s="41"/>
      <c r="E5" s="41"/>
      <c r="F5" s="8"/>
      <c r="G5" s="42" t="s">
        <v>19</v>
      </c>
      <c r="H5" s="42"/>
      <c r="I5" s="42"/>
      <c r="J5" s="42"/>
      <c r="K5" s="42"/>
      <c r="L5" s="9"/>
      <c r="M5" s="9"/>
      <c r="N5" s="6"/>
    </row>
    <row r="6" spans="1:13" ht="45.75">
      <c r="A6" s="11" t="s">
        <v>1</v>
      </c>
      <c r="B6" s="30" t="s">
        <v>37</v>
      </c>
      <c r="C6" s="30" t="s">
        <v>38</v>
      </c>
      <c r="D6" s="30" t="s">
        <v>39</v>
      </c>
      <c r="E6" s="30" t="s">
        <v>40</v>
      </c>
      <c r="F6" s="30"/>
      <c r="G6" s="31" t="s">
        <v>41</v>
      </c>
      <c r="H6" s="30" t="s">
        <v>42</v>
      </c>
      <c r="I6" s="30" t="s">
        <v>43</v>
      </c>
      <c r="J6" s="30" t="s">
        <v>44</v>
      </c>
      <c r="K6" s="30" t="s">
        <v>45</v>
      </c>
      <c r="L6" s="40" t="s">
        <v>47</v>
      </c>
      <c r="M6" s="30" t="s">
        <v>46</v>
      </c>
    </row>
    <row r="7" spans="1:14" ht="15.75">
      <c r="A7" s="5"/>
      <c r="B7" s="12"/>
      <c r="C7" s="10"/>
      <c r="D7" s="10"/>
      <c r="E7" s="5"/>
      <c r="F7" s="10"/>
      <c r="G7" s="12"/>
      <c r="H7" s="10"/>
      <c r="I7" s="10"/>
      <c r="J7" s="10"/>
      <c r="K7" s="13"/>
      <c r="L7" s="10"/>
      <c r="M7" s="14"/>
      <c r="N7" s="6"/>
    </row>
    <row r="8" spans="1:14" ht="15.75">
      <c r="A8" s="5" t="s">
        <v>52</v>
      </c>
      <c r="B8" s="32">
        <f>SUM(C8:E8)</f>
        <v>165033</v>
      </c>
      <c r="C8" s="32">
        <f>51338+17304+7946+3665</f>
        <v>80253</v>
      </c>
      <c r="D8" s="32">
        <v>66074</v>
      </c>
      <c r="E8" s="32">
        <f>5689+340+12677</f>
        <v>18706</v>
      </c>
      <c r="F8" s="10"/>
      <c r="G8" s="33">
        <f>SUM(H8:K8)</f>
        <v>167357</v>
      </c>
      <c r="H8" s="32">
        <f>36807+71293+12428+1884+7425+422+1352+2235</f>
        <v>133846</v>
      </c>
      <c r="I8" s="32">
        <f>10504+6436+2348+3408</f>
        <v>22696</v>
      </c>
      <c r="J8" s="32">
        <v>4677</v>
      </c>
      <c r="K8" s="32">
        <v>6138</v>
      </c>
      <c r="L8" s="32">
        <v>2421</v>
      </c>
      <c r="M8" s="32">
        <v>97</v>
      </c>
      <c r="N8" s="6"/>
    </row>
    <row r="9" spans="1:14" ht="15.75">
      <c r="A9" s="5" t="s">
        <v>51</v>
      </c>
      <c r="B9" s="32">
        <f>SUM(C9:E9)</f>
        <v>162758</v>
      </c>
      <c r="C9" s="32">
        <f>52011+16859+7265+3830</f>
        <v>79965</v>
      </c>
      <c r="D9" s="32">
        <v>65399</v>
      </c>
      <c r="E9" s="32">
        <f>5671+365+11358</f>
        <v>17394</v>
      </c>
      <c r="F9" s="10"/>
      <c r="G9" s="33">
        <f>SUM(H9:K9)</f>
        <v>162126</v>
      </c>
      <c r="H9" s="32">
        <f>35597+67811+12400+2612+6269+289+1354+1828</f>
        <v>128160</v>
      </c>
      <c r="I9" s="32">
        <f>10168+6308+2245+3668</f>
        <v>22389</v>
      </c>
      <c r="J9" s="32">
        <v>5578</v>
      </c>
      <c r="K9" s="32">
        <v>5999</v>
      </c>
      <c r="L9" s="32">
        <v>1886</v>
      </c>
      <c r="M9" s="32">
        <v>2518</v>
      </c>
      <c r="N9" s="6"/>
    </row>
    <row r="10" spans="1:14" ht="15.75">
      <c r="A10" s="5" t="s">
        <v>50</v>
      </c>
      <c r="B10" s="32">
        <f>SUM(C10:E10)</f>
        <v>151885</v>
      </c>
      <c r="C10" s="32">
        <f>46010+16210+7372+3631</f>
        <v>73223</v>
      </c>
      <c r="D10" s="32">
        <v>61456</v>
      </c>
      <c r="E10" s="32">
        <f>5692+360+10904+250</f>
        <v>17206</v>
      </c>
      <c r="F10" s="10"/>
      <c r="G10" s="33">
        <f>SUM(H10:K10)</f>
        <v>156152</v>
      </c>
      <c r="H10" s="32">
        <f>34734+63262+12734+1869+6633+399+1101+1676</f>
        <v>122408</v>
      </c>
      <c r="I10" s="32">
        <f>9892+6584+2245+3663</f>
        <v>22384</v>
      </c>
      <c r="J10" s="32">
        <v>5590</v>
      </c>
      <c r="K10" s="32">
        <v>5770</v>
      </c>
      <c r="L10" s="32">
        <v>915</v>
      </c>
      <c r="M10" s="32">
        <v>-3352</v>
      </c>
      <c r="N10" s="6"/>
    </row>
    <row r="11" spans="1:14" ht="15.75">
      <c r="A11" s="5" t="s">
        <v>49</v>
      </c>
      <c r="B11" s="32">
        <f>SUM(C11:E11)</f>
        <v>148424</v>
      </c>
      <c r="C11" s="32">
        <f>46089+15741+7575+3967</f>
        <v>73372</v>
      </c>
      <c r="D11" s="32">
        <v>57781</v>
      </c>
      <c r="E11" s="32">
        <f>5213+803+11005+250</f>
        <v>17271</v>
      </c>
      <c r="F11" s="10"/>
      <c r="G11" s="33">
        <f>SUM(H11:K11)</f>
        <v>148301</v>
      </c>
      <c r="H11" s="32">
        <f>34595+56694+12989+2382+5565+319+804+1587</f>
        <v>114935</v>
      </c>
      <c r="I11" s="32">
        <f>9947+6773+2038+3386</f>
        <v>22144</v>
      </c>
      <c r="J11" s="32">
        <v>5706</v>
      </c>
      <c r="K11" s="32">
        <v>5516</v>
      </c>
      <c r="L11" s="32">
        <v>285</v>
      </c>
      <c r="M11" s="32">
        <v>408</v>
      </c>
      <c r="N11" s="6"/>
    </row>
    <row r="12" spans="1:14" ht="15.75">
      <c r="A12" s="21" t="s">
        <v>34</v>
      </c>
      <c r="B12" s="32">
        <f aca="true" t="shared" si="0" ref="B12:B40">SUM(C12:E12)</f>
        <v>145905</v>
      </c>
      <c r="C12" s="32">
        <f>45438+15361+8321+3537</f>
        <v>72657</v>
      </c>
      <c r="D12" s="32">
        <v>51494</v>
      </c>
      <c r="E12" s="32">
        <f>5142+426+15186+1000</f>
        <v>21754</v>
      </c>
      <c r="F12" s="32"/>
      <c r="G12" s="33">
        <f aca="true" t="shared" si="1" ref="G12:G21">SUM(H12:K12)</f>
        <v>139671</v>
      </c>
      <c r="H12" s="32">
        <f>32229+51939+12477+2814+5864+316+695+1355</f>
        <v>107689</v>
      </c>
      <c r="I12" s="32">
        <f>9780+6188+1979+3972</f>
        <v>21919</v>
      </c>
      <c r="J12" s="32">
        <v>5338</v>
      </c>
      <c r="K12" s="32">
        <v>4725</v>
      </c>
      <c r="L12" s="32">
        <v>225</v>
      </c>
      <c r="M12" s="32">
        <v>6459</v>
      </c>
      <c r="N12" s="6"/>
    </row>
    <row r="13" spans="1:14" ht="15.75">
      <c r="A13" s="21" t="s">
        <v>33</v>
      </c>
      <c r="B13" s="32">
        <f t="shared" si="0"/>
        <v>134967</v>
      </c>
      <c r="C13" s="32">
        <f>41295+15139+8438+3398</f>
        <v>68270</v>
      </c>
      <c r="D13" s="32">
        <v>50176</v>
      </c>
      <c r="E13" s="32">
        <f>10811+492+4968+250</f>
        <v>16521</v>
      </c>
      <c r="F13" s="32"/>
      <c r="G13" s="33">
        <f t="shared" si="1"/>
        <v>134721</v>
      </c>
      <c r="H13" s="32">
        <f>31139+48078+13758+2714+5799+454+836+1363</f>
        <v>104141</v>
      </c>
      <c r="I13" s="32">
        <f>9599+5326+1880+4000</f>
        <v>20805</v>
      </c>
      <c r="J13" s="32">
        <v>5269</v>
      </c>
      <c r="K13" s="32">
        <v>4506</v>
      </c>
      <c r="L13" s="32">
        <f>955</f>
        <v>955</v>
      </c>
      <c r="M13" s="32">
        <v>1201</v>
      </c>
      <c r="N13" s="6"/>
    </row>
    <row r="14" spans="1:14" ht="15.75">
      <c r="A14" s="21" t="s">
        <v>32</v>
      </c>
      <c r="B14" s="32">
        <f t="shared" si="0"/>
        <v>132837</v>
      </c>
      <c r="C14" s="32">
        <f>41962+14598+8275+2973</f>
        <v>67808</v>
      </c>
      <c r="D14" s="32">
        <v>49263</v>
      </c>
      <c r="E14" s="32">
        <f>4574+447+10745</f>
        <v>15766</v>
      </c>
      <c r="F14" s="32"/>
      <c r="G14" s="33">
        <f t="shared" si="1"/>
        <v>133314</v>
      </c>
      <c r="H14" s="32">
        <f>30717+48363+13970+2003+5633+451+700+1189</f>
        <v>103026</v>
      </c>
      <c r="I14" s="32">
        <f>9597+5505+1457+3878</f>
        <v>20437</v>
      </c>
      <c r="J14" s="32">
        <v>5323</v>
      </c>
      <c r="K14" s="32">
        <v>4528</v>
      </c>
      <c r="L14" s="32">
        <v>613</v>
      </c>
      <c r="M14" s="32">
        <v>136</v>
      </c>
      <c r="N14" s="6"/>
    </row>
    <row r="15" spans="1:14" ht="15.75">
      <c r="A15" s="21" t="s">
        <v>31</v>
      </c>
      <c r="B15" s="32">
        <f t="shared" si="0"/>
        <v>128306</v>
      </c>
      <c r="C15" s="32">
        <f>38355+14528+7758+3115</f>
        <v>63756</v>
      </c>
      <c r="D15" s="32">
        <v>48016</v>
      </c>
      <c r="E15" s="32">
        <f>4648+453+11433</f>
        <v>16534</v>
      </c>
      <c r="F15" s="32"/>
      <c r="G15" s="33">
        <f t="shared" si="1"/>
        <v>129518</v>
      </c>
      <c r="H15" s="32">
        <f>51893+31255+2090+1042+4466+5327+745+2049</f>
        <v>98867</v>
      </c>
      <c r="I15" s="32">
        <f>9439+5767+1538+4477</f>
        <v>21221</v>
      </c>
      <c r="J15" s="32">
        <v>5232</v>
      </c>
      <c r="K15" s="32">
        <v>4198</v>
      </c>
      <c r="L15" s="32">
        <v>1831</v>
      </c>
      <c r="M15" s="32">
        <v>619</v>
      </c>
      <c r="N15" s="6"/>
    </row>
    <row r="16" spans="1:14" ht="15.75">
      <c r="A16" s="21" t="s">
        <v>30</v>
      </c>
      <c r="B16" s="32">
        <f t="shared" si="0"/>
        <v>133323</v>
      </c>
      <c r="C16" s="32">
        <f>37705+14133+7115+3228</f>
        <v>62181</v>
      </c>
      <c r="D16" s="32">
        <v>54659</v>
      </c>
      <c r="E16" s="32">
        <f>4655+457+11371</f>
        <v>16483</v>
      </c>
      <c r="F16" s="32"/>
      <c r="G16" s="33">
        <f t="shared" si="1"/>
        <v>132689</v>
      </c>
      <c r="H16" s="32">
        <f>53894+32380+2020+1037+4460+5311+506+2685</f>
        <v>102293</v>
      </c>
      <c r="I16" s="32">
        <f>9857+5899+1234+4338</f>
        <v>21328</v>
      </c>
      <c r="J16" s="32">
        <v>4894</v>
      </c>
      <c r="K16" s="32">
        <v>4174</v>
      </c>
      <c r="L16" s="32">
        <v>1267</v>
      </c>
      <c r="M16" s="32">
        <v>1901</v>
      </c>
      <c r="N16" s="6"/>
    </row>
    <row r="17" spans="1:14" ht="15.75">
      <c r="A17" s="21" t="s">
        <v>29</v>
      </c>
      <c r="B17" s="32">
        <f t="shared" si="0"/>
        <v>125879</v>
      </c>
      <c r="C17" s="32">
        <v>57905</v>
      </c>
      <c r="D17" s="32">
        <v>51407</v>
      </c>
      <c r="E17" s="32">
        <v>16567</v>
      </c>
      <c r="F17" s="32"/>
      <c r="G17" s="33">
        <f t="shared" si="1"/>
        <v>128566</v>
      </c>
      <c r="H17" s="32">
        <v>98666</v>
      </c>
      <c r="I17" s="32">
        <v>20326</v>
      </c>
      <c r="J17" s="32">
        <v>4545</v>
      </c>
      <c r="K17" s="32">
        <v>5029</v>
      </c>
      <c r="L17" s="32">
        <v>2810</v>
      </c>
      <c r="M17" s="32">
        <v>123</v>
      </c>
      <c r="N17" s="6"/>
    </row>
    <row r="18" spans="1:14" ht="15.75">
      <c r="A18" s="21" t="s">
        <v>28</v>
      </c>
      <c r="B18" s="32">
        <f t="shared" si="0"/>
        <v>110716</v>
      </c>
      <c r="C18" s="32">
        <v>56480</v>
      </c>
      <c r="D18" s="32">
        <v>41637</v>
      </c>
      <c r="E18" s="32">
        <v>12599</v>
      </c>
      <c r="F18" s="32"/>
      <c r="G18" s="33">
        <f t="shared" si="1"/>
        <v>120711</v>
      </c>
      <c r="H18" s="32">
        <v>91124</v>
      </c>
      <c r="I18" s="32">
        <v>20326</v>
      </c>
      <c r="J18" s="32">
        <v>4134</v>
      </c>
      <c r="K18" s="32">
        <v>5127</v>
      </c>
      <c r="L18" s="32">
        <v>1996</v>
      </c>
      <c r="M18" s="32">
        <v>-7999</v>
      </c>
      <c r="N18" s="6"/>
    </row>
    <row r="19" spans="1:14" ht="15.75">
      <c r="A19" s="21" t="s">
        <v>27</v>
      </c>
      <c r="B19" s="33">
        <f t="shared" si="0"/>
        <v>114040</v>
      </c>
      <c r="C19" s="32">
        <v>63117</v>
      </c>
      <c r="D19" s="32">
        <v>37802</v>
      </c>
      <c r="E19" s="32">
        <v>13121</v>
      </c>
      <c r="F19" s="32"/>
      <c r="G19" s="33">
        <f t="shared" si="1"/>
        <v>115946</v>
      </c>
      <c r="H19" s="32">
        <v>87376</v>
      </c>
      <c r="I19" s="32">
        <v>20025</v>
      </c>
      <c r="J19" s="32">
        <v>4078</v>
      </c>
      <c r="K19" s="32">
        <v>4467</v>
      </c>
      <c r="L19" s="33">
        <v>1546</v>
      </c>
      <c r="M19" s="32">
        <v>-360</v>
      </c>
      <c r="N19" s="6"/>
    </row>
    <row r="20" spans="1:14" ht="15.75">
      <c r="A20" s="21" t="s">
        <v>26</v>
      </c>
      <c r="B20" s="33">
        <f t="shared" si="0"/>
        <v>110250</v>
      </c>
      <c r="C20" s="32">
        <v>58695</v>
      </c>
      <c r="D20" s="32">
        <v>38163</v>
      </c>
      <c r="E20" s="32">
        <v>13392</v>
      </c>
      <c r="F20" s="32"/>
      <c r="G20" s="33">
        <f t="shared" si="1"/>
        <v>111010</v>
      </c>
      <c r="H20" s="32">
        <v>84091</v>
      </c>
      <c r="I20" s="32">
        <v>18923</v>
      </c>
      <c r="J20" s="32">
        <v>3592</v>
      </c>
      <c r="K20" s="32">
        <v>4404</v>
      </c>
      <c r="L20" s="33">
        <v>715</v>
      </c>
      <c r="M20" s="32">
        <v>-45</v>
      </c>
      <c r="N20" s="6"/>
    </row>
    <row r="21" spans="1:14" ht="15.75">
      <c r="A21" s="19" t="s">
        <v>24</v>
      </c>
      <c r="B21" s="33">
        <f t="shared" si="0"/>
        <v>107493</v>
      </c>
      <c r="C21" s="33">
        <v>54381</v>
      </c>
      <c r="D21" s="33">
        <v>36625</v>
      </c>
      <c r="E21" s="33">
        <v>16487</v>
      </c>
      <c r="F21" s="33"/>
      <c r="G21" s="33">
        <f t="shared" si="1"/>
        <v>104013</v>
      </c>
      <c r="H21" s="33">
        <v>77116</v>
      </c>
      <c r="I21" s="33">
        <v>18834</v>
      </c>
      <c r="J21" s="33">
        <v>4015</v>
      </c>
      <c r="K21" s="33">
        <v>4048</v>
      </c>
      <c r="L21" s="33">
        <v>369</v>
      </c>
      <c r="M21" s="33">
        <v>3849</v>
      </c>
      <c r="N21" s="6"/>
    </row>
    <row r="22" spans="1:14" ht="15.75">
      <c r="A22" s="19" t="s">
        <v>23</v>
      </c>
      <c r="B22" s="34">
        <f t="shared" si="0"/>
        <v>98591</v>
      </c>
      <c r="C22" s="35">
        <v>49612</v>
      </c>
      <c r="D22" s="35">
        <v>37480</v>
      </c>
      <c r="E22" s="35">
        <v>11499</v>
      </c>
      <c r="F22" s="35"/>
      <c r="G22" s="34">
        <v>98253</v>
      </c>
      <c r="H22" s="35">
        <v>74097</v>
      </c>
      <c r="I22" s="35">
        <v>17077</v>
      </c>
      <c r="J22" s="35">
        <v>3480</v>
      </c>
      <c r="K22" s="35">
        <v>3599</v>
      </c>
      <c r="L22" s="36">
        <v>1772</v>
      </c>
      <c r="M22" s="35">
        <v>2110</v>
      </c>
      <c r="N22" s="6"/>
    </row>
    <row r="23" spans="1:14" ht="15.75">
      <c r="A23" s="19" t="s">
        <v>22</v>
      </c>
      <c r="B23" s="34">
        <f t="shared" si="0"/>
        <v>92073</v>
      </c>
      <c r="C23" s="32">
        <v>43791</v>
      </c>
      <c r="D23" s="32">
        <v>38241</v>
      </c>
      <c r="E23" s="32">
        <v>10041</v>
      </c>
      <c r="F23" s="32"/>
      <c r="G23" s="34">
        <f aca="true" t="shared" si="2" ref="G23:G40">SUM(H23:K23)</f>
        <v>96691</v>
      </c>
      <c r="H23" s="32">
        <v>73251</v>
      </c>
      <c r="I23" s="32">
        <v>16392</v>
      </c>
      <c r="J23" s="32">
        <v>3440</v>
      </c>
      <c r="K23" s="32">
        <v>3608</v>
      </c>
      <c r="L23" s="33">
        <v>7855</v>
      </c>
      <c r="M23" s="32">
        <v>3237</v>
      </c>
      <c r="N23" s="6"/>
    </row>
    <row r="24" spans="1:14" ht="15.75">
      <c r="A24" s="19" t="s">
        <v>21</v>
      </c>
      <c r="B24" s="34">
        <f t="shared" si="0"/>
        <v>84699</v>
      </c>
      <c r="C24" s="33">
        <v>39636</v>
      </c>
      <c r="D24" s="33">
        <v>35312</v>
      </c>
      <c r="E24" s="33">
        <v>9751</v>
      </c>
      <c r="F24" s="33"/>
      <c r="G24" s="34">
        <f t="shared" si="2"/>
        <v>91147</v>
      </c>
      <c r="H24" s="33">
        <v>68890</v>
      </c>
      <c r="I24" s="33">
        <v>15925</v>
      </c>
      <c r="J24" s="33">
        <v>2970</v>
      </c>
      <c r="K24" s="33">
        <v>3362</v>
      </c>
      <c r="L24" s="33">
        <v>2144</v>
      </c>
      <c r="M24" s="33">
        <v>-4304</v>
      </c>
      <c r="N24" s="6"/>
    </row>
    <row r="25" spans="1:14" ht="15.75">
      <c r="A25" s="17" t="s">
        <v>20</v>
      </c>
      <c r="B25" s="34">
        <f t="shared" si="0"/>
        <v>82986</v>
      </c>
      <c r="C25" s="32">
        <v>41676</v>
      </c>
      <c r="D25" s="32">
        <v>29942</v>
      </c>
      <c r="E25" s="32">
        <v>11368</v>
      </c>
      <c r="F25" s="32"/>
      <c r="G25" s="34">
        <f t="shared" si="2"/>
        <v>84459</v>
      </c>
      <c r="H25" s="32">
        <v>60761</v>
      </c>
      <c r="I25" s="32">
        <v>16909</v>
      </c>
      <c r="J25" s="32">
        <v>3392</v>
      </c>
      <c r="K25" s="32">
        <v>3397</v>
      </c>
      <c r="L25" s="32">
        <v>-2974</v>
      </c>
      <c r="M25" s="32">
        <v>-4447</v>
      </c>
      <c r="N25" s="6"/>
    </row>
    <row r="26" spans="1:14" ht="15.75">
      <c r="A26" s="16" t="s">
        <v>17</v>
      </c>
      <c r="B26" s="37">
        <f t="shared" si="0"/>
        <v>82741</v>
      </c>
      <c r="C26" s="37">
        <v>45153</v>
      </c>
      <c r="D26" s="37">
        <v>26722</v>
      </c>
      <c r="E26" s="37">
        <v>10866</v>
      </c>
      <c r="F26" s="35"/>
      <c r="G26" s="37">
        <f t="shared" si="2"/>
        <v>79101</v>
      </c>
      <c r="H26" s="37">
        <v>56093</v>
      </c>
      <c r="I26" s="37">
        <v>15881</v>
      </c>
      <c r="J26" s="37">
        <v>3679</v>
      </c>
      <c r="K26" s="37">
        <v>3448</v>
      </c>
      <c r="L26" s="37">
        <v>-2192</v>
      </c>
      <c r="M26" s="35">
        <v>1448</v>
      </c>
      <c r="N26" s="6"/>
    </row>
    <row r="27" spans="1:14" ht="15.75">
      <c r="A27" s="16" t="s">
        <v>16</v>
      </c>
      <c r="B27" s="37">
        <f t="shared" si="0"/>
        <v>77269</v>
      </c>
      <c r="C27" s="37">
        <v>41888</v>
      </c>
      <c r="D27" s="37">
        <v>25367</v>
      </c>
      <c r="E27" s="37">
        <v>10014</v>
      </c>
      <c r="F27" s="35"/>
      <c r="G27" s="37">
        <f t="shared" si="2"/>
        <v>72571</v>
      </c>
      <c r="H27" s="37">
        <v>51386</v>
      </c>
      <c r="I27" s="37">
        <v>14426</v>
      </c>
      <c r="J27" s="37">
        <v>3317</v>
      </c>
      <c r="K27" s="37">
        <v>3442</v>
      </c>
      <c r="L27" s="37">
        <v>-1668</v>
      </c>
      <c r="M27" s="35">
        <v>3030</v>
      </c>
      <c r="N27" s="6"/>
    </row>
    <row r="28" spans="1:14" ht="15.75">
      <c r="A28" s="16" t="s">
        <v>15</v>
      </c>
      <c r="B28" s="37">
        <f t="shared" si="0"/>
        <v>70818</v>
      </c>
      <c r="C28" s="37">
        <v>38985</v>
      </c>
      <c r="D28" s="37">
        <v>24133</v>
      </c>
      <c r="E28" s="37">
        <v>7700</v>
      </c>
      <c r="F28" s="35"/>
      <c r="G28" s="37">
        <f t="shared" si="2"/>
        <v>67759</v>
      </c>
      <c r="H28" s="37">
        <v>47548</v>
      </c>
      <c r="I28" s="37">
        <v>13929</v>
      </c>
      <c r="J28" s="37">
        <v>2889</v>
      </c>
      <c r="K28" s="37">
        <v>3393</v>
      </c>
      <c r="L28" s="37">
        <v>-1736</v>
      </c>
      <c r="M28" s="35">
        <v>1323</v>
      </c>
      <c r="N28" s="6"/>
    </row>
    <row r="29" spans="1:14" ht="15.75">
      <c r="A29" s="16" t="s">
        <v>14</v>
      </c>
      <c r="B29" s="37">
        <f t="shared" si="0"/>
        <v>67340</v>
      </c>
      <c r="C29" s="37">
        <v>36374</v>
      </c>
      <c r="D29" s="37">
        <v>23268</v>
      </c>
      <c r="E29" s="37">
        <v>7698</v>
      </c>
      <c r="F29" s="35"/>
      <c r="G29" s="37">
        <f t="shared" si="2"/>
        <v>64108</v>
      </c>
      <c r="H29" s="37">
        <v>44667</v>
      </c>
      <c r="I29" s="37">
        <v>13730</v>
      </c>
      <c r="J29" s="37">
        <v>2728</v>
      </c>
      <c r="K29" s="37">
        <v>2983</v>
      </c>
      <c r="L29" s="37">
        <v>-1432</v>
      </c>
      <c r="M29" s="35">
        <v>1800</v>
      </c>
      <c r="N29" s="6"/>
    </row>
    <row r="30" spans="1:14" s="2" customFormat="1" ht="15.75">
      <c r="A30" s="14" t="s">
        <v>13</v>
      </c>
      <c r="B30" s="37">
        <f t="shared" si="0"/>
        <v>65413</v>
      </c>
      <c r="C30" s="37">
        <v>35000</v>
      </c>
      <c r="D30" s="37">
        <v>22329</v>
      </c>
      <c r="E30" s="37">
        <v>8084</v>
      </c>
      <c r="F30" s="35"/>
      <c r="G30" s="37">
        <f t="shared" si="2"/>
        <v>62678</v>
      </c>
      <c r="H30" s="37">
        <v>43463</v>
      </c>
      <c r="I30" s="37">
        <v>14055</v>
      </c>
      <c r="J30" s="37">
        <v>2387</v>
      </c>
      <c r="K30" s="37">
        <v>2773</v>
      </c>
      <c r="L30" s="37">
        <v>-675</v>
      </c>
      <c r="M30" s="35">
        <v>2060</v>
      </c>
      <c r="N30" s="20"/>
    </row>
    <row r="31" spans="1:14" ht="15.75">
      <c r="A31" s="14" t="s">
        <v>12</v>
      </c>
      <c r="B31" s="37">
        <f t="shared" si="0"/>
        <v>62721</v>
      </c>
      <c r="C31" s="37">
        <v>33507</v>
      </c>
      <c r="D31" s="37">
        <v>22272</v>
      </c>
      <c r="E31" s="37">
        <v>6942</v>
      </c>
      <c r="F31" s="35"/>
      <c r="G31" s="37">
        <f t="shared" si="2"/>
        <v>61778</v>
      </c>
      <c r="H31" s="37">
        <v>43219</v>
      </c>
      <c r="I31" s="37">
        <v>13221</v>
      </c>
      <c r="J31" s="37">
        <v>2334</v>
      </c>
      <c r="K31" s="37">
        <v>3004</v>
      </c>
      <c r="L31" s="37">
        <v>-510</v>
      </c>
      <c r="M31" s="35">
        <v>433</v>
      </c>
      <c r="N31" s="6"/>
    </row>
    <row r="32" spans="1:14" ht="15.75">
      <c r="A32" s="14" t="s">
        <v>11</v>
      </c>
      <c r="B32" s="37">
        <f t="shared" si="0"/>
        <v>60472</v>
      </c>
      <c r="C32" s="35">
        <v>32994</v>
      </c>
      <c r="D32" s="35">
        <v>21481</v>
      </c>
      <c r="E32" s="35">
        <v>5997</v>
      </c>
      <c r="F32" s="35"/>
      <c r="G32" s="37">
        <f t="shared" si="2"/>
        <v>60887</v>
      </c>
      <c r="H32" s="35">
        <v>42551</v>
      </c>
      <c r="I32" s="35">
        <v>13082</v>
      </c>
      <c r="J32" s="35">
        <v>2132</v>
      </c>
      <c r="K32" s="35">
        <v>3122</v>
      </c>
      <c r="L32" s="36">
        <v>-1376</v>
      </c>
      <c r="M32" s="35">
        <v>-1791</v>
      </c>
      <c r="N32" s="6"/>
    </row>
    <row r="33" spans="1:14" ht="15.75">
      <c r="A33" s="14" t="s">
        <v>10</v>
      </c>
      <c r="B33" s="37">
        <f t="shared" si="0"/>
        <v>56759</v>
      </c>
      <c r="C33" s="35">
        <v>32974</v>
      </c>
      <c r="D33" s="35">
        <v>18627</v>
      </c>
      <c r="E33" s="35">
        <v>5158</v>
      </c>
      <c r="F33" s="35"/>
      <c r="G33" s="37">
        <f t="shared" si="2"/>
        <v>54352</v>
      </c>
      <c r="H33" s="35">
        <v>37716</v>
      </c>
      <c r="I33" s="35">
        <v>12074</v>
      </c>
      <c r="J33" s="35">
        <v>2039</v>
      </c>
      <c r="K33" s="35">
        <v>2523</v>
      </c>
      <c r="L33" s="35">
        <v>-1356</v>
      </c>
      <c r="M33" s="35">
        <v>1051</v>
      </c>
      <c r="N33" s="6"/>
    </row>
    <row r="34" spans="1:14" ht="15.75">
      <c r="A34" s="15" t="s">
        <v>9</v>
      </c>
      <c r="B34" s="37">
        <f t="shared" si="0"/>
        <v>53668</v>
      </c>
      <c r="C34" s="35">
        <v>31333</v>
      </c>
      <c r="D34" s="35">
        <v>16934</v>
      </c>
      <c r="E34" s="35">
        <v>5401</v>
      </c>
      <c r="F34" s="35"/>
      <c r="G34" s="37">
        <f t="shared" si="2"/>
        <v>51032</v>
      </c>
      <c r="H34" s="35">
        <v>35016</v>
      </c>
      <c r="I34" s="35">
        <v>11641</v>
      </c>
      <c r="J34" s="35">
        <v>2076</v>
      </c>
      <c r="K34" s="35">
        <v>2299</v>
      </c>
      <c r="L34" s="35">
        <v>-2</v>
      </c>
      <c r="M34" s="35">
        <v>2634</v>
      </c>
      <c r="N34" s="6"/>
    </row>
    <row r="35" spans="1:14" s="3" customFormat="1" ht="15.75">
      <c r="A35" s="15" t="s">
        <v>8</v>
      </c>
      <c r="B35" s="37">
        <f t="shared" si="0"/>
        <v>50271</v>
      </c>
      <c r="C35" s="35">
        <v>29698</v>
      </c>
      <c r="D35" s="35">
        <v>15743</v>
      </c>
      <c r="E35" s="35">
        <v>4830</v>
      </c>
      <c r="F35" s="35"/>
      <c r="G35" s="37">
        <f t="shared" si="2"/>
        <v>49546</v>
      </c>
      <c r="H35" s="35">
        <v>34043</v>
      </c>
      <c r="I35" s="35">
        <v>11495</v>
      </c>
      <c r="J35" s="35">
        <v>1716</v>
      </c>
      <c r="K35" s="35">
        <v>2292</v>
      </c>
      <c r="L35" s="35">
        <v>1216</v>
      </c>
      <c r="M35" s="35">
        <v>1941</v>
      </c>
      <c r="N35" s="22"/>
    </row>
    <row r="36" spans="1:14" s="3" customFormat="1" ht="15.75">
      <c r="A36" s="15" t="s">
        <v>7</v>
      </c>
      <c r="B36" s="37">
        <f t="shared" si="0"/>
        <v>47413</v>
      </c>
      <c r="C36" s="35">
        <v>28019</v>
      </c>
      <c r="D36" s="35">
        <v>13162</v>
      </c>
      <c r="E36" s="35">
        <v>6232</v>
      </c>
      <c r="F36" s="35"/>
      <c r="G36" s="37">
        <f t="shared" si="2"/>
        <v>50919</v>
      </c>
      <c r="H36" s="35">
        <v>31012</v>
      </c>
      <c r="I36" s="35">
        <v>15358</v>
      </c>
      <c r="J36" s="35">
        <v>1848</v>
      </c>
      <c r="K36" s="35">
        <v>2701</v>
      </c>
      <c r="L36" s="35">
        <v>2106</v>
      </c>
      <c r="M36" s="35">
        <v>-1400</v>
      </c>
      <c r="N36" s="22"/>
    </row>
    <row r="37" spans="1:14" ht="15.75">
      <c r="A37" s="15" t="s">
        <v>6</v>
      </c>
      <c r="B37" s="37">
        <f t="shared" si="0"/>
        <v>45364</v>
      </c>
      <c r="C37" s="35">
        <v>27858</v>
      </c>
      <c r="D37" s="35">
        <v>11535</v>
      </c>
      <c r="E37" s="35">
        <v>5971</v>
      </c>
      <c r="F37" s="35"/>
      <c r="G37" s="37">
        <f t="shared" si="2"/>
        <v>46710</v>
      </c>
      <c r="H37" s="35">
        <v>28190</v>
      </c>
      <c r="I37" s="35">
        <v>14626</v>
      </c>
      <c r="J37" s="35">
        <v>1716</v>
      </c>
      <c r="K37" s="35">
        <v>2178</v>
      </c>
      <c r="L37" s="35">
        <v>173</v>
      </c>
      <c r="M37" s="35">
        <v>-1173</v>
      </c>
      <c r="N37" s="6"/>
    </row>
    <row r="38" spans="1:14" ht="15.75">
      <c r="A38" s="15" t="s">
        <v>5</v>
      </c>
      <c r="B38" s="37">
        <f t="shared" si="0"/>
        <v>42478</v>
      </c>
      <c r="C38" s="35">
        <v>26849</v>
      </c>
      <c r="D38" s="35">
        <v>10305</v>
      </c>
      <c r="E38" s="35">
        <v>5324</v>
      </c>
      <c r="F38" s="35"/>
      <c r="G38" s="37">
        <f t="shared" si="2"/>
        <v>43508</v>
      </c>
      <c r="H38" s="35">
        <v>26228</v>
      </c>
      <c r="I38" s="35">
        <v>13604</v>
      </c>
      <c r="J38" s="35">
        <v>1561</v>
      </c>
      <c r="K38" s="35">
        <v>2115</v>
      </c>
      <c r="L38" s="36">
        <v>30</v>
      </c>
      <c r="M38" s="35">
        <v>-1000</v>
      </c>
      <c r="N38" s="6"/>
    </row>
    <row r="39" spans="1:14" ht="15.75">
      <c r="A39" s="15" t="s">
        <v>4</v>
      </c>
      <c r="B39" s="37">
        <f t="shared" si="0"/>
        <v>39719</v>
      </c>
      <c r="C39" s="35">
        <v>25688</v>
      </c>
      <c r="D39" s="35">
        <v>9429</v>
      </c>
      <c r="E39" s="35">
        <v>4602</v>
      </c>
      <c r="F39" s="35"/>
      <c r="G39" s="37">
        <f t="shared" si="2"/>
        <v>39783</v>
      </c>
      <c r="H39" s="35">
        <v>23656</v>
      </c>
      <c r="I39" s="35">
        <v>13013</v>
      </c>
      <c r="J39" s="35">
        <v>1394</v>
      </c>
      <c r="K39" s="35">
        <v>1720</v>
      </c>
      <c r="L39" s="36">
        <v>-116</v>
      </c>
      <c r="M39" s="35">
        <v>-180</v>
      </c>
      <c r="N39" s="6"/>
    </row>
    <row r="40" spans="1:14" ht="15.75">
      <c r="A40" s="15" t="s">
        <v>3</v>
      </c>
      <c r="B40" s="37">
        <f t="shared" si="0"/>
        <v>38769</v>
      </c>
      <c r="C40" s="35">
        <v>25030</v>
      </c>
      <c r="D40" s="35">
        <v>9436</v>
      </c>
      <c r="E40" s="35">
        <v>4303</v>
      </c>
      <c r="F40" s="35"/>
      <c r="G40" s="37">
        <f t="shared" si="2"/>
        <v>38425</v>
      </c>
      <c r="H40" s="35">
        <v>23390</v>
      </c>
      <c r="I40" s="35">
        <v>11951</v>
      </c>
      <c r="J40" s="35">
        <v>1335</v>
      </c>
      <c r="K40" s="35">
        <v>1749</v>
      </c>
      <c r="L40" s="36">
        <v>1627</v>
      </c>
      <c r="M40" s="35">
        <v>1971</v>
      </c>
      <c r="N40" s="6"/>
    </row>
    <row r="41" spans="1:14" ht="15.75">
      <c r="A41" s="15" t="s">
        <v>2</v>
      </c>
      <c r="B41" s="38">
        <v>35052</v>
      </c>
      <c r="C41" s="37">
        <v>22255</v>
      </c>
      <c r="D41" s="37">
        <v>8999</v>
      </c>
      <c r="E41" s="38">
        <v>3798</v>
      </c>
      <c r="F41" s="37"/>
      <c r="G41" s="38">
        <v>35408</v>
      </c>
      <c r="H41" s="37">
        <v>21405</v>
      </c>
      <c r="I41" s="37">
        <v>11165</v>
      </c>
      <c r="J41" s="37">
        <v>1315</v>
      </c>
      <c r="K41" s="37">
        <v>1521</v>
      </c>
      <c r="L41" s="39">
        <v>655</v>
      </c>
      <c r="M41" s="37">
        <v>301</v>
      </c>
      <c r="N41" s="6"/>
    </row>
    <row r="42" spans="1:14" ht="15.7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6"/>
    </row>
    <row r="43" spans="1:14" ht="15.75">
      <c r="A43" s="7" t="s">
        <v>53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6"/>
    </row>
    <row r="44" spans="1:14" ht="15.75">
      <c r="A44" s="7" t="s">
        <v>36</v>
      </c>
      <c r="B44" s="25"/>
      <c r="C44" s="25"/>
      <c r="D44" s="25"/>
      <c r="E44" s="25"/>
      <c r="F44" s="25"/>
      <c r="G44" s="26"/>
      <c r="H44" s="25"/>
      <c r="I44" s="25"/>
      <c r="J44" s="25"/>
      <c r="K44" s="25"/>
      <c r="L44" s="26"/>
      <c r="M44" s="25"/>
      <c r="N44" s="6"/>
    </row>
    <row r="45" spans="1:14" ht="15.75">
      <c r="A45" s="7"/>
      <c r="B45" s="25"/>
      <c r="C45" s="25"/>
      <c r="D45" s="25"/>
      <c r="E45" s="25"/>
      <c r="F45" s="25"/>
      <c r="G45" s="26"/>
      <c r="H45" s="25"/>
      <c r="I45" s="25"/>
      <c r="J45" s="25"/>
      <c r="K45" s="25"/>
      <c r="L45" s="25"/>
      <c r="M45" s="25"/>
      <c r="N45" s="6"/>
    </row>
    <row r="46" spans="1:14" ht="15.75">
      <c r="A46" s="7" t="s">
        <v>35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6"/>
    </row>
    <row r="47" spans="1:14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</sheetData>
  <sheetProtection/>
  <mergeCells count="2">
    <mergeCell ref="B5:E5"/>
    <mergeCell ref="G5:K5"/>
  </mergeCells>
  <printOptions/>
  <pageMargins left="0.573" right="0.667" top="0.75" bottom="0.75" header="0.5" footer="0.5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2013-01-29T20:18:13Z</dcterms:created>
  <dcterms:modified xsi:type="dcterms:W3CDTF">2020-01-02T15:10:11Z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